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1940" windowHeight="6315" tabRatio="603" firstSheet="10" activeTab="10"/>
  </bookViews>
  <sheets>
    <sheet name=" расш прибыли" sheetId="1" r:id="rId1"/>
    <sheet name="тех-экон показ" sheetId="2" r:id="rId2"/>
    <sheet name="прочие" sheetId="3" r:id="rId3"/>
    <sheet name="трансп услуги" sheetId="4" r:id="rId4"/>
    <sheet name="нормы ГСМ" sheetId="5" r:id="rId5"/>
    <sheet name="Анализ кал РЭК" sheetId="6" r:id="rId6"/>
    <sheet name="Нор чис по котел" sheetId="7" r:id="rId7"/>
    <sheet name="затраты по воде" sheetId="8" r:id="rId8"/>
    <sheet name="баланс" sheetId="9" r:id="rId9"/>
    <sheet name="НОРМ_ТЕП" sheetId="10" r:id="rId10"/>
    <sheet name="отоп по кот." sheetId="11" r:id="rId11"/>
  </sheets>
  <externalReferences>
    <externalReference r:id="rId14"/>
  </externalReferences>
  <definedNames>
    <definedName name="_xlnm._FilterDatabase" localSheetId="9" hidden="1">'НОРМ_ТЕП'!$A$15:$K$37</definedName>
    <definedName name="_xlnm._FilterDatabase" localSheetId="10" hidden="1">'отоп по кот.'!$A$12:$E$25</definedName>
    <definedName name="дни_отопл">'[1]дни отопл'!$A$3:$B$8</definedName>
    <definedName name="_xlnm.Print_Titles" localSheetId="9">'НОРМ_ТЕП'!$15:$15</definedName>
    <definedName name="_xlnm.Print_Area" localSheetId="9">'НОРМ_ТЕП'!$A$1:$K$37</definedName>
  </definedNames>
  <calcPr fullCalcOnLoad="1"/>
</workbook>
</file>

<file path=xl/comments9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V142" authorId="0">
      <text>
        <r>
          <rPr>
            <sz val="8"/>
            <rFont val="Tahoma"/>
            <family val="0"/>
          </rPr>
          <t>Кол-во посетителей за месяц</t>
        </r>
      </text>
    </comment>
    <comment ref="V143" authorId="0">
      <text>
        <r>
          <rPr>
            <sz val="8"/>
            <rFont val="Tahoma"/>
            <family val="0"/>
          </rPr>
          <t>Кол-во посетителей за месяц</t>
        </r>
      </text>
    </comment>
    <comment ref="V149" authorId="0">
      <text>
        <r>
          <rPr>
            <sz val="8"/>
            <rFont val="Tahoma"/>
            <family val="0"/>
          </rPr>
          <t>Кол-во кг выстиранного белья за месяц</t>
        </r>
      </text>
    </comment>
    <comment ref="AM138" authorId="0">
      <text>
        <r>
          <rPr>
            <sz val="8"/>
            <rFont val="Tahoma"/>
            <family val="0"/>
          </rPr>
          <t>Из отчета Зинаиды Никитичны по натуральным показателям.</t>
        </r>
      </text>
    </comment>
  </commentList>
</comments>
</file>

<file path=xl/sharedStrings.xml><?xml version="1.0" encoding="utf-8"?>
<sst xmlns="http://schemas.openxmlformats.org/spreadsheetml/2006/main" count="979" uniqueCount="556">
  <si>
    <t>ИТОГО</t>
  </si>
  <si>
    <t>Потребители</t>
  </si>
  <si>
    <t>Р О В Д</t>
  </si>
  <si>
    <t>Пенсионный фонд</t>
  </si>
  <si>
    <t>ООО "Мила-В"</t>
  </si>
  <si>
    <t xml:space="preserve"> по нормированию труда работников энергетического хозяйства</t>
  </si>
  <si>
    <t>ливе с ручной его загрузкой.</t>
  </si>
  <si>
    <t>Норматив численности рабочих, занятых на обслуживании котлов, работающих на твёрдом топ-</t>
  </si>
  <si>
    <t>К - 1</t>
  </si>
  <si>
    <t>Итого,</t>
  </si>
  <si>
    <t>т.р.</t>
  </si>
  <si>
    <t>Отопление (Гкал/год)</t>
  </si>
  <si>
    <t>№ котельной</t>
  </si>
  <si>
    <t xml:space="preserve"> </t>
  </si>
  <si>
    <t>МУК "Централизованная библиотечная система"</t>
  </si>
  <si>
    <t>Отдел социальной защиты населения</t>
  </si>
  <si>
    <t>ГУ "Центр занятости населения Бирилюсского р-на"</t>
  </si>
  <si>
    <t>МОУ ДОД Дом детского творчества "Юность"</t>
  </si>
  <si>
    <t>ФГУП "Почта России"</t>
  </si>
  <si>
    <t>КГСОУ Специальная (коррекционная) школа</t>
  </si>
  <si>
    <t>МОУ Новобирилюсская средняя школа</t>
  </si>
  <si>
    <t>Агентство ЗАГС администрации Красноярского края</t>
  </si>
  <si>
    <t>Управление образования администрации Бирил. р.</t>
  </si>
  <si>
    <t>Администрация Новобирилюсского сельсовета</t>
  </si>
  <si>
    <t>Межрайонная инспекция ФНС России № 4 по Кр. кр.</t>
  </si>
  <si>
    <t>УФ регистрационной службы по Красноярскому краю</t>
  </si>
  <si>
    <t>ГКУ "Красноярский краевой Дом журналистов"</t>
  </si>
  <si>
    <t>Управление судебного департамента в Кр. кр.</t>
  </si>
  <si>
    <t>УФ агентства кадастра объектов недвижимости</t>
  </si>
  <si>
    <t>ЗАО МСО "Надежда"</t>
  </si>
  <si>
    <t>Финансовое управление администрации Бирил.р-на</t>
  </si>
  <si>
    <t>ГУ Фонд социального страхования</t>
  </si>
  <si>
    <t>ТОФС Госстатистики по Красноярскому краю</t>
  </si>
  <si>
    <t>ООО "Росгосстрах-Сибирь"</t>
  </si>
  <si>
    <t>Наличие прибора учёта</t>
  </si>
  <si>
    <t>Норма расхода, м3/час</t>
  </si>
  <si>
    <t>Потребность в воде, м3/сутки</t>
  </si>
  <si>
    <t>Потребность в воде, м3/год</t>
  </si>
  <si>
    <t>УТВЕРЖДАЮ :</t>
  </si>
  <si>
    <t>М.М.Денисюкова</t>
  </si>
  <si>
    <t xml:space="preserve">       Расшифровка ст.1 "Сырьё, основные материалы"</t>
  </si>
  <si>
    <t xml:space="preserve">            к таб. № П 1.15. "Смета расходов"</t>
  </si>
  <si>
    <t>Расход эл. энергии в гараже в год  -  32 540 кВт</t>
  </si>
  <si>
    <t>Цена (тариф) за полезный отпуск 1 кВт  -  1,58 руб. (с НДС)</t>
  </si>
  <si>
    <t>Количество автопарка  -  18 машин</t>
  </si>
  <si>
    <r>
      <t xml:space="preserve">(32 540 кВт х 1,58 руб.) : 18 машин х 2 машины  =  </t>
    </r>
    <r>
      <rPr>
        <b/>
        <sz val="11"/>
        <rFont val="Arial Cyr"/>
        <family val="0"/>
      </rPr>
      <t>5,7 тыс. руб.</t>
    </r>
  </si>
  <si>
    <t>2007 год</t>
  </si>
  <si>
    <t>Цена (тариф) за полезный отпуск 1 кВт  -  1,74 руб. (с НДС)</t>
  </si>
  <si>
    <r>
      <t xml:space="preserve">(32 540 кВт х 1,74 руб.) : 18 машин х 2 машины  =  </t>
    </r>
    <r>
      <rPr>
        <b/>
        <sz val="11"/>
        <rFont val="Arial Cyr"/>
        <family val="0"/>
      </rPr>
      <t>6,3 тыс. руб.</t>
    </r>
  </si>
  <si>
    <t>Реестр отапливаемой жилой площади благоустроенных домов</t>
  </si>
  <si>
    <t>СОГЛАСОВАНО :</t>
  </si>
  <si>
    <t>проведение новогодней ёлки</t>
  </si>
  <si>
    <t>Всего:</t>
  </si>
  <si>
    <t>8.</t>
  </si>
  <si>
    <t xml:space="preserve">Костюм х/б          </t>
  </si>
  <si>
    <t>Сапоги кирзовые</t>
  </si>
  <si>
    <t xml:space="preserve">Кол-во, чел.  </t>
  </si>
  <si>
    <t xml:space="preserve">         Наименование</t>
  </si>
  <si>
    <t>Спец. одежда, спец. обувь:</t>
  </si>
  <si>
    <t>Цена, руб.</t>
  </si>
  <si>
    <t xml:space="preserve">          Итого, тыс.руб.</t>
  </si>
  <si>
    <t>Тыс.руб.</t>
  </si>
  <si>
    <t>Руб.</t>
  </si>
  <si>
    <t xml:space="preserve">    норма на 1 час  -  7,9 л.</t>
  </si>
  <si>
    <t xml:space="preserve">    Моторные масла</t>
  </si>
  <si>
    <t>потери</t>
  </si>
  <si>
    <t>%</t>
  </si>
  <si>
    <t>Адрес</t>
  </si>
  <si>
    <t>Экономист</t>
  </si>
  <si>
    <t>Итого</t>
  </si>
  <si>
    <t>Прочие прямые</t>
  </si>
  <si>
    <t>Цеховые расходы</t>
  </si>
  <si>
    <t>б</t>
  </si>
  <si>
    <t>ТПО "Фортуна"</t>
  </si>
  <si>
    <t>МУП "Магистраль"</t>
  </si>
  <si>
    <t>Бирилюсский филиал ГП "КрайДЭО"</t>
  </si>
  <si>
    <t>Наружный объём дома</t>
  </si>
  <si>
    <t>Деревянные-1, кирпичные-2, блочные-3</t>
  </si>
  <si>
    <t>№ дома</t>
  </si>
  <si>
    <t>тыс. руб.</t>
  </si>
  <si>
    <t>1. Сырье и основные материалы</t>
  </si>
  <si>
    <t>2006 год</t>
  </si>
  <si>
    <t>буртовка угля</t>
  </si>
  <si>
    <t xml:space="preserve">стоимость угля </t>
  </si>
  <si>
    <t>стоимость перевозки</t>
  </si>
  <si>
    <t>спец.одежда спец.обувь</t>
  </si>
  <si>
    <t>спецпитание</t>
  </si>
  <si>
    <t>выполнение КХА в атмосферу</t>
  </si>
  <si>
    <t>арендная плата</t>
  </si>
  <si>
    <t>№ абонента</t>
  </si>
  <si>
    <t>1. Прибыль на социальное развитие:</t>
  </si>
  <si>
    <t>Отдел культуры и кино</t>
  </si>
  <si>
    <t>м3</t>
  </si>
  <si>
    <t>№ п/п</t>
  </si>
  <si>
    <t>Потери в сетях</t>
  </si>
  <si>
    <t>7.1</t>
  </si>
  <si>
    <t>Удельный расход условного топлива</t>
  </si>
  <si>
    <t>7.2</t>
  </si>
  <si>
    <t>тыс.руб.</t>
  </si>
  <si>
    <t>руб/Гкал</t>
  </si>
  <si>
    <t>1.2.</t>
  </si>
  <si>
    <t>ЗАО "Аллег"</t>
  </si>
  <si>
    <t>ООО "Весна"</t>
  </si>
  <si>
    <t>ООО "Бирюсса"</t>
  </si>
  <si>
    <t>ООО "Автоэксперт"</t>
  </si>
  <si>
    <t>МУК "Бирилюсский районный краеведческий музей"</t>
  </si>
  <si>
    <t>ГОУ "Профессонный лицей № 40"</t>
  </si>
  <si>
    <t>МДОУ Детский сад "Колокольчик"</t>
  </si>
  <si>
    <t>МУЗ "Центральная районная больница"</t>
  </si>
  <si>
    <t>МОУ ДОД "Детская школа искусств"</t>
  </si>
  <si>
    <t>ФГУП РТРС Красноярский РТПЦ</t>
  </si>
  <si>
    <t>Управление Федерального казначейства</t>
  </si>
  <si>
    <t>МУП "Центральная районная аптека № 249"</t>
  </si>
  <si>
    <t>Агенство по обеспечению деятельности мировых судей</t>
  </si>
  <si>
    <t>ОАО "Сибирьтелеком"</t>
  </si>
  <si>
    <t>3.1.</t>
  </si>
  <si>
    <t>3.2.</t>
  </si>
  <si>
    <t>1 квартал</t>
  </si>
  <si>
    <t>Население</t>
  </si>
  <si>
    <t>в том числе</t>
  </si>
  <si>
    <t xml:space="preserve">                        </t>
  </si>
  <si>
    <t>Источник водоснабжения</t>
  </si>
  <si>
    <t>в том числе по кварталам</t>
  </si>
  <si>
    <t>2 квартал</t>
  </si>
  <si>
    <t>3 квартал</t>
  </si>
  <si>
    <t>4 квартал</t>
  </si>
  <si>
    <t>расхода</t>
  </si>
  <si>
    <t>РАСЧЕТ</t>
  </si>
  <si>
    <t>к-во котлов</t>
  </si>
  <si>
    <t>трубопроводов,оборудования</t>
  </si>
  <si>
    <t>и сооружений тепловых сетей</t>
  </si>
  <si>
    <t xml:space="preserve">Норматив численности </t>
  </si>
  <si>
    <t>человек</t>
  </si>
  <si>
    <t>1.</t>
  </si>
  <si>
    <t>ГСМ</t>
  </si>
  <si>
    <t xml:space="preserve">Дизтопливо по норме:  </t>
  </si>
  <si>
    <t>2.</t>
  </si>
  <si>
    <t>3.</t>
  </si>
  <si>
    <t>Оплата труда</t>
  </si>
  <si>
    <t>4.</t>
  </si>
  <si>
    <t>5.</t>
  </si>
  <si>
    <t>6.</t>
  </si>
  <si>
    <t>7.</t>
  </si>
  <si>
    <t xml:space="preserve">      - на выработку теплоэнергии</t>
  </si>
  <si>
    <t xml:space="preserve">      - хоз-бытовые нужды котельных</t>
  </si>
  <si>
    <t>1.1.</t>
  </si>
  <si>
    <t>Продолжитель-ность использования, час/сутки</t>
  </si>
  <si>
    <t>план</t>
  </si>
  <si>
    <t>факт</t>
  </si>
  <si>
    <t>За предыдущие 2 года</t>
  </si>
  <si>
    <t>Покупка тепловой энергии для отпуска на сторону</t>
  </si>
  <si>
    <t xml:space="preserve">     в т.ч.: бюджетные потребители</t>
  </si>
  <si>
    <t>4.1</t>
  </si>
  <si>
    <t>уголь бурый Назаровский</t>
  </si>
  <si>
    <t>Расход электроэнергии</t>
  </si>
  <si>
    <t>млн.кВт ч.</t>
  </si>
  <si>
    <t>млн.квт/час</t>
  </si>
  <si>
    <t xml:space="preserve"> - </t>
  </si>
  <si>
    <t>Норма расхода масел на 100 литров общего расхода топлива:</t>
  </si>
  <si>
    <t>руб.</t>
  </si>
  <si>
    <t xml:space="preserve">Экономист      </t>
  </si>
  <si>
    <t>премирование производственного праздника</t>
  </si>
  <si>
    <t>имеются</t>
  </si>
  <si>
    <t>тыс.руб</t>
  </si>
  <si>
    <t>Администрация Бирилюсского района</t>
  </si>
  <si>
    <t>Гкал/час</t>
  </si>
  <si>
    <t>цена руб.</t>
  </si>
  <si>
    <t>Отпуск теплоэнергии</t>
  </si>
  <si>
    <t>Полезный отпуск теплоэнергии</t>
  </si>
  <si>
    <t>Бюджетные потребители</t>
  </si>
  <si>
    <t>Прочие</t>
  </si>
  <si>
    <t>Выработано энергии</t>
  </si>
  <si>
    <t>Тыс.Гкал</t>
  </si>
  <si>
    <t>ожидаемое за год</t>
  </si>
  <si>
    <t>Отпуск энергии в сеть</t>
  </si>
  <si>
    <t>Полезный отпуск</t>
  </si>
  <si>
    <t>Собственное потребление</t>
  </si>
  <si>
    <t>Израсходовано воды</t>
  </si>
  <si>
    <t>Тыс.м3</t>
  </si>
  <si>
    <t>Израсходовано электроэнергии</t>
  </si>
  <si>
    <t xml:space="preserve">в том числе:    </t>
  </si>
  <si>
    <t>тыс.Гкал</t>
  </si>
  <si>
    <t>Прочие потребители</t>
  </si>
  <si>
    <t>7.2.2</t>
  </si>
  <si>
    <t>в т.ч.бюджетные потребители</t>
  </si>
  <si>
    <t>Цена топлива натурального всего</t>
  </si>
  <si>
    <t>Цена условного топлива</t>
  </si>
  <si>
    <t>Итого расходов</t>
  </si>
  <si>
    <t>Прибыль (убыток)от товарной продукции</t>
  </si>
  <si>
    <t>Необходимая валовая выручка</t>
  </si>
  <si>
    <t>Средний отпускной тариф</t>
  </si>
  <si>
    <t>Себестоимость единицы энергии</t>
  </si>
  <si>
    <t xml:space="preserve">         Наименование показателя</t>
  </si>
  <si>
    <t xml:space="preserve">   Ед.измер.</t>
  </si>
  <si>
    <t xml:space="preserve">то же </t>
  </si>
  <si>
    <t>кг.у.т./Гкал</t>
  </si>
  <si>
    <t>руб/тнт</t>
  </si>
  <si>
    <t>Назаровский</t>
  </si>
  <si>
    <t>Тепловая мощность</t>
  </si>
  <si>
    <t xml:space="preserve">                за 2006 год</t>
  </si>
  <si>
    <t>Расчетная потребность в сутки</t>
  </si>
  <si>
    <t>1.Из системы водоснабжения</t>
  </si>
  <si>
    <t>Норма расхода, час</t>
  </si>
  <si>
    <t xml:space="preserve">       4 квартал</t>
  </si>
  <si>
    <t xml:space="preserve">       3 квартал</t>
  </si>
  <si>
    <t xml:space="preserve">       2 квартал</t>
  </si>
  <si>
    <t xml:space="preserve">       1 квартал</t>
  </si>
  <si>
    <t xml:space="preserve">         в том числе по кварталам</t>
  </si>
  <si>
    <t>Расшифровка затрат по воде</t>
  </si>
  <si>
    <t>по  ООО "Коммунсервис"</t>
  </si>
  <si>
    <t>премирование заслуженных работников ЖКХ</t>
  </si>
  <si>
    <t>2. Прибыль на поощрение:</t>
  </si>
  <si>
    <t>Единицы измерения</t>
  </si>
  <si>
    <t>Вода всего</t>
  </si>
  <si>
    <t>1.3.</t>
  </si>
  <si>
    <t>1.4.</t>
  </si>
  <si>
    <t>1.5.</t>
  </si>
  <si>
    <t>1.6.</t>
  </si>
  <si>
    <t>куб. м</t>
  </si>
  <si>
    <t xml:space="preserve">   покупная</t>
  </si>
  <si>
    <t xml:space="preserve">   из системы водоснабжения пердприятия</t>
  </si>
  <si>
    <t xml:space="preserve">   артезианская</t>
  </si>
  <si>
    <t xml:space="preserve">   из водохранилища</t>
  </si>
  <si>
    <t xml:space="preserve">   из реки</t>
  </si>
  <si>
    <t xml:space="preserve">   из системы водооборота</t>
  </si>
  <si>
    <t>Таблица № 1. Источник водоснабжения</t>
  </si>
  <si>
    <t>Расшифровка расходов на воду</t>
  </si>
  <si>
    <t>Стоимость воды, руб./м3</t>
  </si>
  <si>
    <t>Затраты на воду, тыс. руб.</t>
  </si>
  <si>
    <t>Обоснование стоимости воды (приказ, постановление, калькуляция)</t>
  </si>
  <si>
    <t>Вид источника                          (наименование поставщика)</t>
  </si>
  <si>
    <t>Бирилюсского района</t>
  </si>
  <si>
    <t>директор</t>
  </si>
  <si>
    <t>в условных единицах</t>
  </si>
  <si>
    <t>Объем обслуживания и ремонта</t>
  </si>
  <si>
    <t>Техническое обслуживание и ремонт оборудования котельных:</t>
  </si>
  <si>
    <t>Таблица № 2. Объём водопотребления</t>
  </si>
  <si>
    <t>ООО "Орбита плюс"</t>
  </si>
  <si>
    <t>ИП Хапина Н.В.</t>
  </si>
  <si>
    <t>ООО "Бытсервис"</t>
  </si>
  <si>
    <t>ИП Хайрулин Р.А.</t>
  </si>
  <si>
    <t>А.Н.Целлер</t>
  </si>
  <si>
    <t>Главный инженер             _____________________</t>
  </si>
  <si>
    <t>руб./тнт</t>
  </si>
  <si>
    <t>руб./тут</t>
  </si>
  <si>
    <t>5.1.</t>
  </si>
  <si>
    <t>Расход воды</t>
  </si>
  <si>
    <t>Расход топлива</t>
  </si>
  <si>
    <t>т.н.т.</t>
  </si>
  <si>
    <t>Запас топлива</t>
  </si>
  <si>
    <t>Цеховые   расходы</t>
  </si>
  <si>
    <t xml:space="preserve">     по  расчету  среднего  тарифа  услуги теплоснабжения</t>
  </si>
  <si>
    <t>Спец. питание :</t>
  </si>
  <si>
    <t>на 1 человека - норма 0,5 л. молока в смену</t>
  </si>
  <si>
    <t xml:space="preserve">         Расшифровка балансовой прибыли</t>
  </si>
  <si>
    <t>Итого :</t>
  </si>
  <si>
    <t xml:space="preserve">          по сравнению с 2008 г.</t>
  </si>
  <si>
    <t xml:space="preserve">      2008 год     </t>
  </si>
  <si>
    <t>2. Материалы</t>
  </si>
  <si>
    <t>3. Топливо на технологические цели</t>
  </si>
  <si>
    <t>тариф перевозки за 1т/км</t>
  </si>
  <si>
    <t>запас угля - тонн</t>
  </si>
  <si>
    <t>цена угля, руб.</t>
  </si>
  <si>
    <t>тариф на перевозку, руб.</t>
  </si>
  <si>
    <t>4. Зар. плата</t>
  </si>
  <si>
    <t>5. Отчисления</t>
  </si>
  <si>
    <t>6. Энергия</t>
  </si>
  <si>
    <t>тариф электроэнергии, руб.</t>
  </si>
  <si>
    <t>кол-во эл/энергии - тыс.кВт/ч</t>
  </si>
  <si>
    <t>7. Амортизация основных фондов</t>
  </si>
  <si>
    <t>8. Прочие затраты</t>
  </si>
  <si>
    <t>в том числе:</t>
  </si>
  <si>
    <t>телефон, сотовая связь</t>
  </si>
  <si>
    <t>услуги "ЕнисейЭнергоСервис"</t>
  </si>
  <si>
    <t>общеэсплуатационные расходы - 38,33 %</t>
  </si>
  <si>
    <t>Удельная отопительная хар-ка здания</t>
  </si>
  <si>
    <t>Отпуск тепловой энергии, Гкал.</t>
  </si>
  <si>
    <t>Норматив потребления теплоэнергии на 1 м2</t>
  </si>
  <si>
    <t>на 2010 год</t>
  </si>
  <si>
    <t>ГУ "ОФПС - 21"</t>
  </si>
  <si>
    <t>МОУ ДОД "Детско-юношеский спортивная школа"</t>
  </si>
  <si>
    <t>Красноярская КЭЧ</t>
  </si>
  <si>
    <t>ИП Гречина О.М.</t>
  </si>
  <si>
    <t>ИП Быкова Н.П.</t>
  </si>
  <si>
    <t>ИП Голущенко И.Н.</t>
  </si>
  <si>
    <t>ИП Дмитриенко Г.Л.</t>
  </si>
  <si>
    <t>ИП Панфиловой О.В.</t>
  </si>
  <si>
    <t>ИП Ашлапова В.П.</t>
  </si>
  <si>
    <t>ИП Родин С.А.</t>
  </si>
  <si>
    <t>ИП Соловьёва В.М.</t>
  </si>
  <si>
    <t>ФБУ МРУИИ № 3</t>
  </si>
  <si>
    <t>ООО "Виктория"</t>
  </si>
  <si>
    <t>ЗАО АИКБ "Енисейский объединённый банк"</t>
  </si>
  <si>
    <t>ИП Рассадкин В.В.</t>
  </si>
  <si>
    <t>ИП Родина Г.Ф.</t>
  </si>
  <si>
    <t>Собственные нужды</t>
  </si>
  <si>
    <t>Собственные предприятия</t>
  </si>
  <si>
    <t>Ачинское отделение Сбербанка № 076</t>
  </si>
  <si>
    <t>Теплоэнергия (Гкал/год)</t>
  </si>
  <si>
    <t>потребителей тепловой энергии по котельным ООО "Коммунсервис"</t>
  </si>
  <si>
    <t>Р Е Е С Т Р</t>
  </si>
  <si>
    <t>сп</t>
  </si>
  <si>
    <t>2008 год</t>
  </si>
  <si>
    <t>выработка</t>
  </si>
  <si>
    <t>б+п</t>
  </si>
  <si>
    <t>п (п+н)</t>
  </si>
  <si>
    <t>в т.ч. Н</t>
  </si>
  <si>
    <t>полез. отпуск</t>
  </si>
  <si>
    <t>соб. пред.</t>
  </si>
  <si>
    <t>всего</t>
  </si>
  <si>
    <t>соб. нужды</t>
  </si>
  <si>
    <t>2010 год</t>
  </si>
  <si>
    <t>Договор                  (№, дата)</t>
  </si>
  <si>
    <t>Объём воды,                   м3</t>
  </si>
  <si>
    <t>РАСЧЁТ</t>
  </si>
  <si>
    <t>Плата за пользование транспортом</t>
  </si>
  <si>
    <t>стоимость путевого листа  -  1,00 руб.</t>
  </si>
  <si>
    <t>транспортной услуги на ДТ - 75</t>
  </si>
  <si>
    <t xml:space="preserve">    долнительно в зимнее время  -  15 %</t>
  </si>
  <si>
    <t>Бензин для запуска двигателя - 1,5 л.</t>
  </si>
  <si>
    <t>Буртовка угля за 1 час</t>
  </si>
  <si>
    <t>Верхонки</t>
  </si>
  <si>
    <t>Респиратор</t>
  </si>
  <si>
    <t>Итого, тыс.руб.</t>
  </si>
  <si>
    <t>Кол-во, чел.</t>
  </si>
  <si>
    <t>Спец. одежда мастеров (в год):</t>
  </si>
  <si>
    <t>на буртовку угля на 2010 год</t>
  </si>
  <si>
    <t>отопление (70,743 Гкал. х 1 120,22 руб. : 166 ч. х 8 ч. : 18 маш.) - 212,18 руб.</t>
  </si>
  <si>
    <t>Срок эксплуатации, мес.</t>
  </si>
  <si>
    <t>Технологический процесс (согласно расчёту)</t>
  </si>
  <si>
    <t>Общеэксплуатационные расходы</t>
  </si>
  <si>
    <t>Аренда: земельного участка, строения котельных</t>
  </si>
  <si>
    <t xml:space="preserve">     ПРОЧИЕ РАСХОДЫ</t>
  </si>
  <si>
    <t xml:space="preserve">        по  расчету  среднего  тарифа  услуги теплоснабжения</t>
  </si>
  <si>
    <t>в т.ч. - потери, м3</t>
  </si>
  <si>
    <t>по цене руб за 1 м3</t>
  </si>
  <si>
    <t>кол-во воды, м3</t>
  </si>
  <si>
    <t xml:space="preserve">Расшифровка по смете расходов ООО "Коммунсервис" за 2009 год </t>
  </si>
  <si>
    <t>стоимость приобритения топлива, руб./тн.</t>
  </si>
  <si>
    <t>факт 2009 г.</t>
  </si>
  <si>
    <t>Выработка, Гкал.</t>
  </si>
  <si>
    <t>Потери, Гкал.</t>
  </si>
  <si>
    <t>Полезный отпуск, Гкал.</t>
  </si>
  <si>
    <t xml:space="preserve">  план 2009 год </t>
  </si>
  <si>
    <t>64,4 т/день</t>
  </si>
  <si>
    <t>3,9+6,6</t>
  </si>
  <si>
    <t>Расходы</t>
  </si>
  <si>
    <t>Выручка</t>
  </si>
  <si>
    <t>Прибыль</t>
  </si>
  <si>
    <t>Ремонт и тех. обслуживание</t>
  </si>
  <si>
    <r>
      <t xml:space="preserve">новогодние подарки детям </t>
    </r>
    <r>
      <rPr>
        <sz val="10"/>
        <rFont val="Arial"/>
        <family val="2"/>
      </rPr>
      <t>(40 дет. х 769,25 руб.)</t>
    </r>
  </si>
  <si>
    <t>средний расход угля в смену на 1 котёл, тонн</t>
  </si>
  <si>
    <t xml:space="preserve">расход угля по котельной в смену, тонн </t>
  </si>
  <si>
    <t>Котлы вогрейные, тепло-</t>
  </si>
  <si>
    <t>производительностью МВт</t>
  </si>
  <si>
    <t>(Гкал./ч.)</t>
  </si>
  <si>
    <t>рабочих на единицу обору-</t>
  </si>
  <si>
    <t>дования в сутки, чел.</t>
  </si>
  <si>
    <t>(17 МВт (14,46 Гкал/ч))</t>
  </si>
  <si>
    <t>Всего по котельным :</t>
  </si>
  <si>
    <t xml:space="preserve">  нормативной численности персонала, согласно рекомендаций </t>
  </si>
  <si>
    <t>норматив чис-ленности рабочих в смену,                                                0,4 чел. на 1 т.</t>
  </si>
  <si>
    <t>Слесарь по обслуживанию и по ремонту тепловых сетей, электрогазосварщик.</t>
  </si>
  <si>
    <t xml:space="preserve">        в смену ,чел.</t>
  </si>
  <si>
    <t>за 9 месяцев</t>
  </si>
  <si>
    <t>в т.ч. на собственные нужды - тыс.руб.</t>
  </si>
  <si>
    <t>технологический процесс - тыс.руб.</t>
  </si>
  <si>
    <t>кол-во угля - тонн (расход)</t>
  </si>
  <si>
    <t>и.о. главы администрации</t>
  </si>
  <si>
    <t>ИП Филонова Л.И.</t>
  </si>
  <si>
    <t>Потылицина Т.А.</t>
  </si>
  <si>
    <t>Администрация Маталасского сельсовета</t>
  </si>
  <si>
    <t>МУК Маталасская централизованная клубная система</t>
  </si>
  <si>
    <t>МБОУ Маталасская средняя школа</t>
  </si>
  <si>
    <t>Прокуратура Красноярского края</t>
  </si>
  <si>
    <t>КГБУ СО "Бирилюсский"</t>
  </si>
  <si>
    <t>ИП Федоренко Л.В.</t>
  </si>
  <si>
    <t>ИП Ашлапова А.В.</t>
  </si>
  <si>
    <t>ИП Хайрулин</t>
  </si>
  <si>
    <t>на 2011 год</t>
  </si>
  <si>
    <t>МУЗ "Центральная районная больница" (Маталасский ФАП)</t>
  </si>
  <si>
    <t>ФГУП "Почта России" (Маталасское отделение)</t>
  </si>
  <si>
    <t>Гкал. по гор. воде-7200м3*0,05</t>
  </si>
  <si>
    <t>Старший экономист         _____________________</t>
  </si>
  <si>
    <t>только на заполнение ситемы сетей</t>
  </si>
  <si>
    <t>по счётчикам</t>
  </si>
  <si>
    <t>вода общая</t>
  </si>
  <si>
    <t>население</t>
  </si>
  <si>
    <t>бюджет</t>
  </si>
  <si>
    <t>прочие</t>
  </si>
  <si>
    <t>собств.</t>
  </si>
  <si>
    <t>М.М.Салахутдинова</t>
  </si>
  <si>
    <t>______________ С.А.Логинов</t>
  </si>
  <si>
    <t>Вода горячая (Гкал/год)</t>
  </si>
  <si>
    <t>Регулируемый период 2011 год</t>
  </si>
  <si>
    <t>Использование воды за 2011 год</t>
  </si>
  <si>
    <t>Внутренняя площадь квартир</t>
  </si>
  <si>
    <t>2011 год</t>
  </si>
  <si>
    <t>Текущий 2010 год</t>
  </si>
  <si>
    <t>Период регулирования 2011 год</t>
  </si>
  <si>
    <t>электроэнергия (102,1 кВт/час в мес. х 4 руб. : 166 ч. : 18 маш. х 8 ч. ) - 1,10 руб.</t>
  </si>
  <si>
    <t>Отчисления на социальные нужды  (14,2%)</t>
  </si>
  <si>
    <t>на буртовку угля на 2011 год</t>
  </si>
  <si>
    <t xml:space="preserve">       по ООО "Коммунсервис" на 2011 год</t>
  </si>
  <si>
    <t>ФАКТ</t>
  </si>
  <si>
    <t>Т.11</t>
  </si>
  <si>
    <t>Т.10</t>
  </si>
  <si>
    <t>Плата за предельно допустимые выбросы</t>
  </si>
  <si>
    <t>ООО "Теплосбыт"</t>
  </si>
  <si>
    <t>№ 30/08 от 01.08.2008 г.</t>
  </si>
  <si>
    <t>Цена договорная</t>
  </si>
  <si>
    <t>Генеральный директор</t>
  </si>
  <si>
    <t>А.Н.Каунов</t>
  </si>
  <si>
    <t>Расчет условных единиц (0,001 х 2 626) х 0,325 х 1 х 0,75 х 1,02 = 0,653 усл.ед.</t>
  </si>
  <si>
    <t>ул.Вокзальная</t>
  </si>
  <si>
    <t>ул.Титова</t>
  </si>
  <si>
    <t>ул.Балыксинская</t>
  </si>
  <si>
    <t>7 "Г"</t>
  </si>
  <si>
    <t>____________ А.Н.Каунов</t>
  </si>
  <si>
    <t>ООО "Теплосбыт" (Бирилюсского район, с.Суриково)</t>
  </si>
  <si>
    <t>Количество рабочих  -  13 чел.</t>
  </si>
  <si>
    <t>Заработная плата мастера</t>
  </si>
  <si>
    <t>(согласно проекта штатного расписания на 2011 г.)</t>
  </si>
  <si>
    <t>Спец. одежда мастера (в год):</t>
  </si>
  <si>
    <t>Прочие расход (расчёт нормативов)</t>
  </si>
  <si>
    <t>13 чел. х 0,5 л. х 60,5 смен х 28 руб. = 11 011 руб.</t>
  </si>
  <si>
    <t>директор ООО "Теплосбыт"</t>
  </si>
  <si>
    <t>26.04.2010 г.</t>
  </si>
  <si>
    <t>МБОУ Суриковская общеобразовательная средняя школа</t>
  </si>
  <si>
    <t>МДОУ Детский сад "Родник"</t>
  </si>
  <si>
    <t>МУЗ "Центральная районная больница"-Суриковский ФАП</t>
  </si>
  <si>
    <t>Суриковский почтамт - филиал ФГУП "Почта России"</t>
  </si>
  <si>
    <t>ИП Семак В.С.</t>
  </si>
  <si>
    <t>ООО "Викинг"</t>
  </si>
  <si>
    <t>ОАО "Железнодорожная торговая компания"</t>
  </si>
  <si>
    <t>ОАО "Российские железные дороги"</t>
  </si>
  <si>
    <t>13.09.2010 г.</t>
  </si>
  <si>
    <t>Общество с ограниченной ответственностью "Теплосбыт" Бирилюсского района</t>
  </si>
  <si>
    <t>Реестр договоров потребления горячей (производственно-хозяйственной) воды</t>
  </si>
  <si>
    <t>бюджетными организациями на 2011 год</t>
  </si>
  <si>
    <t>Директор                      __________________</t>
  </si>
  <si>
    <t>Договор</t>
  </si>
  <si>
    <t>Расчёт тепловой энергии на горячую воду (Гкал./год)</t>
  </si>
  <si>
    <t>№ 2 от 01.01.2010 г.</t>
  </si>
  <si>
    <t>№ 11 от 01.01.2009 г.</t>
  </si>
  <si>
    <t>№ 8 от 01.01.2009 г.</t>
  </si>
  <si>
    <t>№ 16 от 01.01.2009 г.</t>
  </si>
  <si>
    <t>прочими организациями на 2011 год</t>
  </si>
  <si>
    <t>№ 17 от 15.09.2008 г.</t>
  </si>
  <si>
    <t xml:space="preserve">           ООО "Теплосбыт"  на  2011 год</t>
  </si>
  <si>
    <t xml:space="preserve">                     ООО "Теплосбыт"  на  2011 год</t>
  </si>
  <si>
    <t>а) на выработку теплоэнергии</t>
  </si>
  <si>
    <t>б) хоз-бытовые нужды котельных</t>
  </si>
  <si>
    <t>в) хоз-бытовые нужды населения</t>
  </si>
  <si>
    <t>Фактическое использование воды за 2010 год</t>
  </si>
  <si>
    <t>предприятия - покупная</t>
  </si>
  <si>
    <t xml:space="preserve">                                          Водный баланс ООО "Теплосбыт" на период регулирования</t>
  </si>
  <si>
    <t>Анализ основных технико- экономических показателей  ООО "Теплосбыт" (Бирилюсский район, с.Суриково)</t>
  </si>
  <si>
    <t>полугодие 2009 года</t>
  </si>
  <si>
    <t>Динамика по формированию производственно-технических показателей по ООО "Теплосбыт" (Бирилюсский район, с.Суриково)</t>
  </si>
  <si>
    <t xml:space="preserve">      - хоз-бытовые нужды населения, организаций</t>
  </si>
  <si>
    <t>потребителей тепловой энергии по котельным ООО "Теплосбыт"</t>
  </si>
  <si>
    <t>Вода горячая (м3/год)</t>
  </si>
  <si>
    <t>Экономист                   __________________</t>
  </si>
  <si>
    <t>Экономист                      __________________</t>
  </si>
  <si>
    <t>Костюм сварочный</t>
  </si>
  <si>
    <t>Отчисления во внебюджетные фонды (34,2 % от з/пл)</t>
  </si>
  <si>
    <t>Отчисления во внебюджетные фонды (14,2 % от з/пл)</t>
  </si>
  <si>
    <t xml:space="preserve">                       ООО "Теплосбыт"  на  2010 год</t>
  </si>
  <si>
    <t xml:space="preserve">        ООО "Теплосбыт"  на  2010 год</t>
  </si>
  <si>
    <t>Отчисления во внебюджетные фонды  (34,2 %)</t>
  </si>
  <si>
    <t>168 раб.дн. х 1,6 ч./дн.=268,8 ч./год</t>
  </si>
  <si>
    <t>Буртовка 1 тонны угля (0,1 часа)</t>
  </si>
  <si>
    <t>268,8 ч./год : 2822 тн./год=0,1 ч./тн =&gt;около 6 мин.</t>
  </si>
  <si>
    <t>Итого диз. топлива (12,64 л. х 15 %) - 15 л.</t>
  </si>
  <si>
    <t>норма - 4,5 л. (факт: 15 х 4,5 : 100 = 0,7 л.)</t>
  </si>
  <si>
    <t>Стоимость дизтоплива  -  ( 15 л. х 18,50 руб.)  277,50 руб.</t>
  </si>
  <si>
    <t>Стоимость бензина  -  ( 1,5 л. х 18,50 руб.)  27,75 руб.</t>
  </si>
  <si>
    <t>стоимость - (40 руб. х 0,7)  28,0 руб.</t>
  </si>
  <si>
    <t>стоимость - (42 руб. х 0,7)  29,40 руб.</t>
  </si>
  <si>
    <t>З/пл. рабочего 1 разряда - 2 770,0 руб. (согласно приказа)</t>
  </si>
  <si>
    <t>Тракторист ДТ-75 5 разряда - 24,43 руб./час</t>
  </si>
  <si>
    <t>24,43 руб./ч. х 1,6 ч.  =  39,09 руб.</t>
  </si>
  <si>
    <t>премия          - 35 %   = 13,68 руб.</t>
  </si>
  <si>
    <t>район.+северн. коэф-нт - 60 % = 31,66 руб.</t>
  </si>
  <si>
    <t>спец. одежда (2 418,0 руб. : 12 мес. : 166 ч. х 1,6 ч.) - 1,94 руб.</t>
  </si>
  <si>
    <t>ПРИЛОЖЕНИЕ № 1</t>
  </si>
  <si>
    <t>Р А С Ч Е Т</t>
  </si>
  <si>
    <t>норм расхода топлива</t>
  </si>
  <si>
    <t>для автомобильного транспорта, тракторов на гусенечном</t>
  </si>
  <si>
    <t>и пневматическом ходу и спецмашин коммунального хозяйства</t>
  </si>
  <si>
    <t xml:space="preserve">             В расчетах зимней линейной нормы с 01.01 по 15.04 и с 01.11 по 31.12 применять зимний</t>
  </si>
  <si>
    <t>коэффициент  -  1,15.</t>
  </si>
  <si>
    <t>Расчет летней линейной нормы:</t>
  </si>
  <si>
    <t>Базовая норма - 16 л. на 100 км</t>
  </si>
  <si>
    <t>в г.Ачинск - 10 %</t>
  </si>
  <si>
    <t>в г.Красноярск - 15 %</t>
  </si>
  <si>
    <t>по г.Анчинску - 16 л. * 1,1 = 17,6 л. на 100 км;</t>
  </si>
  <si>
    <t>по г.Красноярску - 16 л. * 1,15 = 18,4 л. на 100 км.</t>
  </si>
  <si>
    <t>Расчет зимней линейной нормы:</t>
  </si>
  <si>
    <t>по г.Ачинску - 17,6 л. * 1,15 = 20,2 л. на 100 км;</t>
  </si>
  <si>
    <t>по г.Красноярку - 18,4 л. * 1,15 = 21,2 л. на 100 км.</t>
  </si>
  <si>
    <t>Базовая норма - 9 л. на 100 км (Б)</t>
  </si>
  <si>
    <t>За возраст более 5 лет - 5 %</t>
  </si>
  <si>
    <t xml:space="preserve">          </t>
  </si>
  <si>
    <t>На кондиционер - 5 %</t>
  </si>
  <si>
    <t>Прохождение в день - 600 км</t>
  </si>
  <si>
    <t>Базовая норма - 7,9 л./час</t>
  </si>
  <si>
    <t xml:space="preserve">         Расчет летней линейной нормы:</t>
  </si>
  <si>
    <t>На запуск двигателя - 1,5 л. бензина А-80</t>
  </si>
  <si>
    <t>0,01 * 9 * 600 * (1 + 0,01 * 10%) = 54 литра</t>
  </si>
  <si>
    <t xml:space="preserve">         Расчет зимней линейной нормы:</t>
  </si>
  <si>
    <t>54 литра * 15 % = 62 литра</t>
  </si>
  <si>
    <t>к Приказу № - 10 от 11.01.2010 г.</t>
  </si>
  <si>
    <t>в организации ООО "Теплосбыт"</t>
  </si>
  <si>
    <t>Базовая норма - 5,8 л./час</t>
  </si>
  <si>
    <t xml:space="preserve">        1. Автомобиль  УАЗ-3909</t>
  </si>
  <si>
    <t xml:space="preserve">        2. Трактор  ДТ - 75</t>
  </si>
  <si>
    <t xml:space="preserve">        3. Трактор  ЮМЗ</t>
  </si>
  <si>
    <t xml:space="preserve">         4. Автомобиль Toyota Caldina</t>
  </si>
  <si>
    <t>на погрузку/разгрузку и подвоз угля до котельной на 2010 год</t>
  </si>
  <si>
    <t xml:space="preserve">    норма на 1 час  -  5,8 л.</t>
  </si>
  <si>
    <t>транспортной услуги на ЮМЗ - 6</t>
  </si>
  <si>
    <t>(общие расходы х 30 %)</t>
  </si>
  <si>
    <t>242 дн. х 2 ч./дн.=484 ч./отопит.сезон</t>
  </si>
  <si>
    <t>484 ч.: 2822 тн./год=0,17 ч./тн =&gt; 10 мин.</t>
  </si>
  <si>
    <t xml:space="preserve">    за 8 ч. работы в день - 46,4 л.</t>
  </si>
  <si>
    <t>Итого диз. топлива (46,4 л. х 15 %) - 53 л.</t>
  </si>
  <si>
    <t>норма - 4,5 л. (факт: 53 х 4,5 : 100 = 2,5 л.)</t>
  </si>
  <si>
    <t>стоимость - (40 руб. х 2,5)  100,0 руб.</t>
  </si>
  <si>
    <t>Стоимость дизтоплива  -  ( 53 л. х 18,50 руб.)  980,50 руб.</t>
  </si>
  <si>
    <t>24,43 руб./ч. х 8 ч.     =  195,44 руб.</t>
  </si>
  <si>
    <t>премия          - 35 %   =    68,40 руб.</t>
  </si>
  <si>
    <t>район.+северн. коэф-нт - 60 % = 158,30 руб.</t>
  </si>
  <si>
    <t>спец. одежда (2 418,0 руб. : 12 мес. : 166 ч. х 8 ч.) - 9,71 руб.</t>
  </si>
  <si>
    <t>Буртовка 1 тонны угля (0,17 часа)</t>
  </si>
  <si>
    <t xml:space="preserve">    за 1,6 ч. работы в день - 12,64 л.</t>
  </si>
  <si>
    <t>З/пл. рабочего 1 разряда - 4 900,0 руб. (согласно приказа)</t>
  </si>
  <si>
    <t>Тракторист ДТ-75 5 разряда - 43,22 руб./час</t>
  </si>
  <si>
    <t>43,22 руб./ч. х 1,6 ч.  =  69,15 руб.</t>
  </si>
  <si>
    <t>премия          - 35 %   = 24,20 руб.</t>
  </si>
  <si>
    <t>район.+северн. коэф-нт - 60 % = 56,01 руб.</t>
  </si>
  <si>
    <t>на погрузку/разгрузку и подвоз угля до котельной на 2011 год</t>
  </si>
  <si>
    <t>43,22 руб./ч. х 8 ч.     =  345,76 руб.</t>
  </si>
  <si>
    <t>премия          - 35 %   =  121,02 руб.</t>
  </si>
  <si>
    <t>район.+северн. коэф-нт - 60 % = 280,07 руб.</t>
  </si>
  <si>
    <t>Стоимость дизтоплива  -  ( 15 л. х 19,50 руб.)  292,50 руб.</t>
  </si>
  <si>
    <t>Стоимость бензина  -  ( 1,5 л. х 19,50 руб.)  29,25 руб.</t>
  </si>
  <si>
    <t>Стоимость дизтоплива  -  ( 53 л. х 19,50 руб.) 1 033,50 руб.</t>
  </si>
  <si>
    <t>спец. одежда (2 426 руб. : 12 мес. : 166 ч. х 1,6 ч.) - 1,95 руб.</t>
  </si>
  <si>
    <t>спец. одежда (2 426 руб. : 12 мес. : 166 ч. х 8 ч.) - 9,74 руб.</t>
  </si>
  <si>
    <t>Фильтр к респиратору</t>
  </si>
  <si>
    <t>Очки защитные</t>
  </si>
  <si>
    <t>13 чел. х 0,5 л. х 60,5 смен х 25 руб. = 9 831,25 руб.</t>
  </si>
  <si>
    <t>Куртка</t>
  </si>
  <si>
    <t>Отправка документов по системе ЕИАС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</si>
</sst>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\$#,##0\ ;[Red]\(\$#,##0\)"/>
    <numFmt numFmtId="174" formatCode="\$#,##0.00\ ;\(\$#,##0.00\)"/>
    <numFmt numFmtId="175" formatCode="\$#,##0.00\ ;[Red]\(\$#,##0.00\)"/>
    <numFmt numFmtId="176" formatCode="m/d"/>
    <numFmt numFmtId="177" formatCode="0.000"/>
    <numFmt numFmtId="178" formatCode="0.0"/>
    <numFmt numFmtId="179" formatCode="0.00000"/>
    <numFmt numFmtId="180" formatCode="0.0000"/>
    <numFmt numFmtId="181" formatCode="0.0000000"/>
    <numFmt numFmtId="182" formatCode="0.000000"/>
    <numFmt numFmtId="183" formatCode="0.00000000"/>
    <numFmt numFmtId="184" formatCode="#,##0.0"/>
    <numFmt numFmtId="185" formatCode="#,##0.000"/>
    <numFmt numFmtId="186" formatCode="#,##0.0000"/>
    <numFmt numFmtId="187" formatCode="0.000000000"/>
    <numFmt numFmtId="188" formatCode="#,##0.00000"/>
    <numFmt numFmtId="189" formatCode="0.0000E+00"/>
    <numFmt numFmtId="190" formatCode="0.000E+00"/>
    <numFmt numFmtId="191" formatCode="0.0E+00"/>
    <numFmt numFmtId="192" formatCode="0E+00"/>
    <numFmt numFmtId="193" formatCode="0.0%"/>
    <numFmt numFmtId="194" formatCode="#,##0.00&quot;р.&quot;"/>
    <numFmt numFmtId="195" formatCode="#,##0.00;[Red]#,##0.00"/>
  </numFmts>
  <fonts count="57">
    <font>
      <sz val="12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i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sz val="8"/>
      <name val="Tahoma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</font>
    <font>
      <sz val="9"/>
      <name val="Arial"/>
      <family val="0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u val="single"/>
      <sz val="11"/>
      <name val="Arial Cyr"/>
      <family val="2"/>
    </font>
    <font>
      <sz val="12"/>
      <color indexed="2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2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2"/>
      <color indexed="52"/>
      <name val="Times New Roman"/>
      <family val="1"/>
    </font>
    <font>
      <sz val="12"/>
      <color indexed="11"/>
      <name val="Times New Roman"/>
      <family val="1"/>
    </font>
    <font>
      <sz val="12"/>
      <color indexed="12"/>
      <name val="Times New Roman"/>
      <family val="1"/>
    </font>
    <font>
      <sz val="12"/>
      <color indexed="53"/>
      <name val="Times New Roman"/>
      <family val="1"/>
    </font>
    <font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43"/>
      <name val="Times New Roman"/>
      <family val="1"/>
    </font>
    <font>
      <u val="single"/>
      <sz val="14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Protection="0">
      <alignment/>
    </xf>
    <xf numFmtId="174" fontId="0" fillId="0" borderId="0" applyProtection="0">
      <alignment/>
    </xf>
    <xf numFmtId="0" fontId="1" fillId="0" borderId="0" applyProtection="0">
      <alignment/>
    </xf>
    <xf numFmtId="0" fontId="2" fillId="0" borderId="0" applyProtection="0">
      <alignment/>
    </xf>
    <xf numFmtId="0" fontId="0" fillId="0" borderId="1" applyProtection="0">
      <alignment/>
    </xf>
    <xf numFmtId="0" fontId="0" fillId="0" borderId="0">
      <alignment/>
      <protection/>
    </xf>
    <xf numFmtId="10" fontId="0" fillId="0" borderId="0" applyProtection="0">
      <alignment/>
    </xf>
    <xf numFmtId="0" fontId="0" fillId="0" borderId="0">
      <alignment/>
      <protection/>
    </xf>
    <xf numFmtId="2" fontId="0" fillId="0" borderId="0" applyProtection="0">
      <alignment/>
    </xf>
    <xf numFmtId="4" fontId="0" fillId="0" borderId="0" applyProtection="0">
      <alignment/>
    </xf>
  </cellStyleXfs>
  <cellXfs count="4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4" fillId="0" borderId="0" xfId="0" applyFont="1" applyAlignment="1">
      <alignment horizontal="right"/>
    </xf>
    <xf numFmtId="178" fontId="12" fillId="0" borderId="0" xfId="0" applyNumberFormat="1" applyFont="1" applyAlignment="1">
      <alignment/>
    </xf>
    <xf numFmtId="177" fontId="8" fillId="0" borderId="2" xfId="23" applyNumberFormat="1" applyFont="1" applyBorder="1" applyAlignment="1" applyProtection="1">
      <alignment horizontal="center"/>
      <protection locked="0"/>
    </xf>
    <xf numFmtId="1" fontId="8" fillId="2" borderId="2" xfId="23" applyNumberFormat="1" applyFont="1" applyFill="1" applyBorder="1" applyAlignment="1" applyProtection="1">
      <alignment horizontal="center"/>
      <protection locked="0"/>
    </xf>
    <xf numFmtId="0" fontId="8" fillId="0" borderId="2" xfId="23" applyFont="1" applyBorder="1" applyProtection="1">
      <alignment/>
      <protection locked="0"/>
    </xf>
    <xf numFmtId="1" fontId="8" fillId="0" borderId="2" xfId="21" applyNumberFormat="1" applyFont="1" applyBorder="1" applyAlignment="1" applyProtection="1">
      <alignment horizontal="center"/>
      <protection locked="0"/>
    </xf>
    <xf numFmtId="1" fontId="8" fillId="0" borderId="2" xfId="23" applyNumberFormat="1" applyFont="1" applyBorder="1" applyAlignment="1" applyProtection="1">
      <alignment horizontal="center"/>
      <protection locked="0"/>
    </xf>
    <xf numFmtId="178" fontId="8" fillId="2" borderId="2" xfId="23" applyNumberFormat="1" applyFont="1" applyFill="1" applyBorder="1" applyAlignment="1">
      <alignment horizontal="center"/>
      <protection/>
    </xf>
    <xf numFmtId="177" fontId="8" fillId="0" borderId="2" xfId="23" applyNumberFormat="1" applyFont="1" applyBorder="1" applyProtection="1">
      <alignment/>
      <protection locked="0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0" fillId="0" borderId="0" xfId="0" applyAlignment="1">
      <alignment/>
    </xf>
    <xf numFmtId="0" fontId="18" fillId="0" borderId="3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16" fillId="0" borderId="4" xfId="23" applyFont="1" applyBorder="1" applyProtection="1">
      <alignment/>
      <protection locked="0"/>
    </xf>
    <xf numFmtId="177" fontId="16" fillId="0" borderId="5" xfId="23" applyNumberFormat="1" applyFont="1" applyBorder="1" applyAlignment="1" applyProtection="1">
      <alignment horizontal="left"/>
      <protection locked="0"/>
    </xf>
    <xf numFmtId="177" fontId="16" fillId="0" borderId="6" xfId="23" applyNumberFormat="1" applyFont="1" applyBorder="1" applyAlignment="1" applyProtection="1">
      <alignment horizontal="left"/>
      <protection locked="0"/>
    </xf>
    <xf numFmtId="177" fontId="15" fillId="0" borderId="6" xfId="23" applyNumberFormat="1" applyFont="1" applyBorder="1" applyAlignment="1" applyProtection="1">
      <alignment horizontal="left"/>
      <protection locked="0"/>
    </xf>
    <xf numFmtId="177" fontId="16" fillId="2" borderId="6" xfId="23" applyNumberFormat="1" applyFont="1" applyFill="1" applyBorder="1" applyAlignment="1" applyProtection="1">
      <alignment horizontal="left"/>
      <protection locked="0"/>
    </xf>
    <xf numFmtId="177" fontId="16" fillId="2" borderId="7" xfId="23" applyNumberFormat="1" applyFont="1" applyFill="1" applyBorder="1" applyAlignment="1" applyProtection="1">
      <alignment horizontal="left"/>
      <protection locked="0"/>
    </xf>
    <xf numFmtId="0" fontId="16" fillId="0" borderId="8" xfId="23" applyFont="1" applyBorder="1" applyAlignment="1" applyProtection="1">
      <alignment horizontal="center"/>
      <protection locked="0"/>
    </xf>
    <xf numFmtId="177" fontId="16" fillId="0" borderId="9" xfId="23" applyNumberFormat="1" applyFont="1" applyBorder="1" applyProtection="1">
      <alignment/>
      <protection locked="0"/>
    </xf>
    <xf numFmtId="177" fontId="16" fillId="0" borderId="3" xfId="23" applyNumberFormat="1" applyFont="1" applyBorder="1" applyProtection="1">
      <alignment/>
      <protection locked="0"/>
    </xf>
    <xf numFmtId="177" fontId="16" fillId="2" borderId="9" xfId="21" applyNumberFormat="1" applyFont="1" applyFill="1" applyBorder="1" applyProtection="1">
      <alignment/>
      <protection locked="0"/>
    </xf>
    <xf numFmtId="0" fontId="16" fillId="0" borderId="9" xfId="23" applyFont="1" applyBorder="1" applyProtection="1">
      <alignment/>
      <protection locked="0"/>
    </xf>
    <xf numFmtId="177" fontId="16" fillId="0" borderId="7" xfId="23" applyNumberFormat="1" applyFont="1" applyBorder="1" applyAlignment="1" applyProtection="1">
      <alignment horizontal="center"/>
      <protection locked="0"/>
    </xf>
    <xf numFmtId="177" fontId="16" fillId="0" borderId="10" xfId="23" applyNumberFormat="1" applyFont="1" applyBorder="1" applyAlignment="1" applyProtection="1">
      <alignment horizontal="center"/>
      <protection locked="0"/>
    </xf>
    <xf numFmtId="177" fontId="16" fillId="0" borderId="2" xfId="23" applyNumberFormat="1" applyFont="1" applyBorder="1" applyAlignment="1" applyProtection="1">
      <alignment horizontal="center"/>
      <protection locked="0"/>
    </xf>
    <xf numFmtId="177" fontId="16" fillId="0" borderId="3" xfId="23" applyNumberFormat="1" applyFont="1" applyBorder="1" applyAlignment="1" applyProtection="1">
      <alignment horizontal="center"/>
      <protection locked="0"/>
    </xf>
    <xf numFmtId="177" fontId="16" fillId="0" borderId="9" xfId="23" applyNumberFormat="1" applyFont="1" applyBorder="1" applyAlignment="1" applyProtection="1">
      <alignment horizontal="center"/>
      <protection locked="0"/>
    </xf>
    <xf numFmtId="177" fontId="16" fillId="2" borderId="2" xfId="23" applyNumberFormat="1" applyFont="1" applyFill="1" applyBorder="1" applyAlignment="1" applyProtection="1">
      <alignment horizontal="center"/>
      <protection locked="0"/>
    </xf>
    <xf numFmtId="2" fontId="8" fillId="0" borderId="2" xfId="23" applyNumberFormat="1" applyFont="1" applyBorder="1" applyAlignment="1" applyProtection="1">
      <alignment horizontal="center"/>
      <protection locked="0"/>
    </xf>
    <xf numFmtId="2" fontId="8" fillId="0" borderId="2" xfId="21" applyNumberFormat="1" applyFont="1" applyBorder="1" applyAlignment="1" applyProtection="1">
      <alignment horizontal="center"/>
      <protection locked="0"/>
    </xf>
    <xf numFmtId="2" fontId="8" fillId="2" borderId="2" xfId="23" applyNumberFormat="1" applyFont="1" applyFill="1" applyBorder="1" applyAlignment="1">
      <alignment horizontal="center"/>
      <protection/>
    </xf>
    <xf numFmtId="0" fontId="8" fillId="0" borderId="2" xfId="23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6" fillId="0" borderId="3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8" fillId="0" borderId="9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2" xfId="0" applyFont="1" applyBorder="1" applyAlignment="1">
      <alignment/>
    </xf>
    <xf numFmtId="49" fontId="27" fillId="0" borderId="2" xfId="0" applyNumberFormat="1" applyFont="1" applyBorder="1" applyAlignment="1">
      <alignment horizontal="center"/>
    </xf>
    <xf numFmtId="178" fontId="27" fillId="0" borderId="2" xfId="0" applyNumberFormat="1" applyFont="1" applyBorder="1" applyAlignment="1">
      <alignment horizontal="center"/>
    </xf>
    <xf numFmtId="4" fontId="27" fillId="0" borderId="2" xfId="0" applyNumberFormat="1" applyFont="1" applyBorder="1" applyAlignment="1">
      <alignment horizontal="center"/>
    </xf>
    <xf numFmtId="184" fontId="27" fillId="0" borderId="2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6" fillId="0" borderId="8" xfId="0" applyFont="1" applyBorder="1" applyAlignment="1">
      <alignment/>
    </xf>
    <xf numFmtId="0" fontId="26" fillId="0" borderId="12" xfId="0" applyFont="1" applyBorder="1" applyAlignment="1">
      <alignment/>
    </xf>
    <xf numFmtId="0" fontId="18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49" fontId="27" fillId="0" borderId="8" xfId="0" applyNumberFormat="1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8" fillId="0" borderId="8" xfId="0" applyFont="1" applyBorder="1" applyAlignment="1">
      <alignment/>
    </xf>
    <xf numFmtId="0" fontId="18" fillId="0" borderId="12" xfId="0" applyFont="1" applyBorder="1" applyAlignment="1">
      <alignment/>
    </xf>
    <xf numFmtId="2" fontId="18" fillId="0" borderId="8" xfId="0" applyNumberFormat="1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3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26" fillId="0" borderId="9" xfId="0" applyFont="1" applyBorder="1" applyAlignment="1">
      <alignment/>
    </xf>
    <xf numFmtId="0" fontId="26" fillId="0" borderId="10" xfId="0" applyFont="1" applyBorder="1" applyAlignment="1">
      <alignment/>
    </xf>
    <xf numFmtId="2" fontId="18" fillId="0" borderId="9" xfId="0" applyNumberFormat="1" applyFont="1" applyBorder="1" applyAlignment="1">
      <alignment horizontal="center"/>
    </xf>
    <xf numFmtId="3" fontId="27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1" fontId="18" fillId="0" borderId="2" xfId="0" applyNumberFormat="1" applyFont="1" applyBorder="1" applyAlignment="1">
      <alignment horizontal="center"/>
    </xf>
    <xf numFmtId="4" fontId="18" fillId="0" borderId="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1" fontId="26" fillId="0" borderId="0" xfId="0" applyNumberFormat="1" applyFont="1" applyAlignment="1">
      <alignment horizontal="center"/>
    </xf>
    <xf numFmtId="4" fontId="8" fillId="0" borderId="2" xfId="23" applyNumberFormat="1" applyFont="1" applyBorder="1" applyAlignment="1" applyProtection="1">
      <alignment horizontal="center"/>
      <protection locked="0"/>
    </xf>
    <xf numFmtId="4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4" fontId="22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30" fillId="0" borderId="0" xfId="0" applyFont="1" applyAlignment="1">
      <alignment/>
    </xf>
    <xf numFmtId="2" fontId="29" fillId="0" borderId="0" xfId="0" applyNumberFormat="1" applyFont="1" applyAlignment="1">
      <alignment/>
    </xf>
    <xf numFmtId="0" fontId="18" fillId="2" borderId="0" xfId="0" applyFont="1" applyFill="1" applyAlignment="1">
      <alignment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7" xfId="0" applyFont="1" applyBorder="1" applyAlignment="1">
      <alignment/>
    </xf>
    <xf numFmtId="0" fontId="29" fillId="0" borderId="0" xfId="23" applyNumberFormat="1" applyFont="1" applyFill="1" applyBorder="1" applyAlignment="1" applyProtection="1">
      <alignment horizontal="center" vertical="center" wrapText="1"/>
      <protection/>
    </xf>
    <xf numFmtId="177" fontId="29" fillId="0" borderId="0" xfId="23" applyNumberFormat="1" applyFont="1" applyFill="1" applyBorder="1" applyAlignment="1" applyProtection="1">
      <alignment horizontal="left" vertical="center" wrapText="1"/>
      <protection/>
    </xf>
    <xf numFmtId="177" fontId="29" fillId="0" borderId="0" xfId="23" applyNumberFormat="1" applyFont="1" applyFill="1" applyBorder="1" applyAlignment="1" applyProtection="1" quotePrefix="1">
      <alignment horizontal="left" vertical="center" wrapText="1"/>
      <protection/>
    </xf>
    <xf numFmtId="14" fontId="29" fillId="0" borderId="0" xfId="23" applyNumberFormat="1" applyFont="1" applyFill="1" applyBorder="1" applyAlignment="1" applyProtection="1">
      <alignment horizontal="left" textRotation="90" wrapText="1"/>
      <protection/>
    </xf>
    <xf numFmtId="177" fontId="18" fillId="2" borderId="0" xfId="23" applyNumberFormat="1" applyFont="1" applyFill="1" applyBorder="1">
      <alignment/>
      <protection/>
    </xf>
    <xf numFmtId="0" fontId="18" fillId="2" borderId="0" xfId="23" applyFont="1" applyFill="1" applyBorder="1">
      <alignment/>
      <protection/>
    </xf>
    <xf numFmtId="0" fontId="18" fillId="2" borderId="0" xfId="23" applyFont="1" applyFill="1" applyBorder="1" applyProtection="1">
      <alignment/>
      <protection locked="0"/>
    </xf>
    <xf numFmtId="177" fontId="18" fillId="2" borderId="0" xfId="23" applyNumberFormat="1" applyFont="1" applyFill="1" applyBorder="1" applyAlignment="1" applyProtection="1" quotePrefix="1">
      <alignment horizontal="left" textRotation="90" wrapText="1"/>
      <protection/>
    </xf>
    <xf numFmtId="17" fontId="18" fillId="0" borderId="0" xfId="21" applyNumberFormat="1" applyFont="1" applyBorder="1" applyProtection="1">
      <alignment/>
      <protection locked="0"/>
    </xf>
    <xf numFmtId="1" fontId="18" fillId="0" borderId="0" xfId="23" applyNumberFormat="1" applyFont="1" applyBorder="1" applyProtection="1">
      <alignment/>
      <protection locked="0"/>
    </xf>
    <xf numFmtId="0" fontId="32" fillId="0" borderId="0" xfId="21" applyFont="1" applyBorder="1" applyAlignment="1">
      <alignment horizontal="centerContinuous" wrapText="1"/>
      <protection/>
    </xf>
    <xf numFmtId="0" fontId="19" fillId="0" borderId="0" xfId="23" applyNumberFormat="1" applyFont="1" applyFill="1" applyBorder="1" applyAlignment="1" applyProtection="1">
      <alignment/>
      <protection/>
    </xf>
    <xf numFmtId="0" fontId="18" fillId="0" borderId="0" xfId="23" applyFont="1" applyBorder="1" applyAlignment="1" applyProtection="1">
      <alignment horizontal="left"/>
      <protection locked="0"/>
    </xf>
    <xf numFmtId="177" fontId="29" fillId="0" borderId="0" xfId="23" applyNumberFormat="1" applyFont="1" applyBorder="1" applyProtection="1">
      <alignment/>
      <protection locked="0"/>
    </xf>
    <xf numFmtId="1" fontId="29" fillId="0" borderId="0" xfId="23" applyNumberFormat="1" applyFont="1" applyBorder="1" applyProtection="1">
      <alignment/>
      <protection locked="0"/>
    </xf>
    <xf numFmtId="0" fontId="29" fillId="2" borderId="0" xfId="23" applyFont="1" applyFill="1" applyBorder="1" applyProtection="1">
      <alignment/>
      <protection locked="0"/>
    </xf>
    <xf numFmtId="1" fontId="20" fillId="0" borderId="0" xfId="23" applyNumberFormat="1" applyFont="1" applyBorder="1" applyProtection="1">
      <alignment/>
      <protection locked="0"/>
    </xf>
    <xf numFmtId="177" fontId="21" fillId="0" borderId="0" xfId="23" applyNumberFormat="1" applyFont="1" applyBorder="1" applyProtection="1">
      <alignment/>
      <protection locked="0"/>
    </xf>
    <xf numFmtId="0" fontId="18" fillId="0" borderId="0" xfId="23" applyFont="1" applyBorder="1" applyAlignment="1" applyProtection="1">
      <alignment/>
      <protection locked="0"/>
    </xf>
    <xf numFmtId="0" fontId="26" fillId="0" borderId="0" xfId="0" applyFont="1" applyAlignment="1">
      <alignment/>
    </xf>
    <xf numFmtId="177" fontId="19" fillId="0" borderId="0" xfId="23" applyNumberFormat="1" applyFont="1" applyBorder="1" applyProtection="1">
      <alignment/>
      <protection locked="0"/>
    </xf>
    <xf numFmtId="178" fontId="18" fillId="0" borderId="2" xfId="23" applyNumberFormat="1" applyFont="1" applyBorder="1" applyProtection="1">
      <alignment/>
      <protection locked="0"/>
    </xf>
    <xf numFmtId="178" fontId="2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8" fontId="18" fillId="2" borderId="2" xfId="23" applyNumberFormat="1" applyFont="1" applyFill="1" applyBorder="1">
      <alignment/>
      <protection/>
    </xf>
    <xf numFmtId="0" fontId="18" fillId="0" borderId="3" xfId="23" applyFont="1" applyBorder="1" applyProtection="1">
      <alignment/>
      <protection locked="0"/>
    </xf>
    <xf numFmtId="177" fontId="18" fillId="0" borderId="3" xfId="23" applyNumberFormat="1" applyFont="1" applyBorder="1" applyProtection="1">
      <alignment/>
      <protection locked="0"/>
    </xf>
    <xf numFmtId="177" fontId="29" fillId="0" borderId="3" xfId="23" applyNumberFormat="1" applyFont="1" applyBorder="1" applyProtection="1">
      <alignment/>
      <protection locked="0"/>
    </xf>
    <xf numFmtId="177" fontId="18" fillId="2" borderId="3" xfId="21" applyNumberFormat="1" applyFont="1" applyFill="1" applyBorder="1" applyProtection="1">
      <alignment/>
      <protection locked="0"/>
    </xf>
    <xf numFmtId="178" fontId="18" fillId="0" borderId="2" xfId="21" applyNumberFormat="1" applyFont="1" applyBorder="1" applyProtection="1">
      <alignment/>
      <protection locked="0"/>
    </xf>
    <xf numFmtId="0" fontId="27" fillId="0" borderId="2" xfId="23" applyFont="1" applyBorder="1" applyAlignment="1" applyProtection="1">
      <alignment horizontal="center" vertical="center" wrapText="1"/>
      <protection locked="0"/>
    </xf>
    <xf numFmtId="0" fontId="27" fillId="0" borderId="9" xfId="23" applyFont="1" applyBorder="1" applyAlignment="1" applyProtection="1">
      <alignment horizontal="center" vertical="center" wrapText="1"/>
      <protection locked="0"/>
    </xf>
    <xf numFmtId="177" fontId="27" fillId="0" borderId="3" xfId="23" applyNumberFormat="1" applyFont="1" applyBorder="1" applyAlignment="1" applyProtection="1">
      <alignment horizontal="center" vertical="center" wrapText="1"/>
      <protection locked="0"/>
    </xf>
    <xf numFmtId="177" fontId="27" fillId="0" borderId="9" xfId="23" applyNumberFormat="1" applyFont="1" applyBorder="1" applyAlignment="1" applyProtection="1">
      <alignment horizontal="center" vertical="center" wrapText="1"/>
      <protection locked="0"/>
    </xf>
    <xf numFmtId="177" fontId="27" fillId="2" borderId="3" xfId="23" applyNumberFormat="1" applyFont="1" applyFill="1" applyBorder="1" applyAlignment="1" applyProtection="1">
      <alignment horizontal="center" vertical="center" wrapText="1"/>
      <protection locked="0"/>
    </xf>
    <xf numFmtId="177" fontId="27" fillId="2" borderId="2" xfId="23" applyNumberFormat="1" applyFont="1" applyFill="1" applyBorder="1" applyAlignment="1">
      <alignment horizontal="center" vertical="center" wrapText="1"/>
      <protection/>
    </xf>
    <xf numFmtId="177" fontId="27" fillId="0" borderId="0" xfId="23" applyNumberFormat="1" applyFont="1" applyBorder="1" applyAlignment="1" applyProtection="1">
      <alignment horizontal="center"/>
      <protection locked="0"/>
    </xf>
    <xf numFmtId="177" fontId="33" fillId="0" borderId="0" xfId="23" applyNumberFormat="1" applyFont="1" applyBorder="1" applyProtection="1">
      <alignment/>
      <protection locked="0"/>
    </xf>
    <xf numFmtId="177" fontId="27" fillId="2" borderId="0" xfId="23" applyNumberFormat="1" applyFont="1" applyFill="1" applyBorder="1">
      <alignment/>
      <protection/>
    </xf>
    <xf numFmtId="0" fontId="27" fillId="0" borderId="0" xfId="0" applyFont="1" applyBorder="1" applyAlignment="1">
      <alignment/>
    </xf>
    <xf numFmtId="178" fontId="27" fillId="0" borderId="2" xfId="23" applyNumberFormat="1" applyFont="1" applyBorder="1" applyProtection="1">
      <alignment/>
      <protection locked="0"/>
    </xf>
    <xf numFmtId="178" fontId="33" fillId="0" borderId="0" xfId="0" applyNumberFormat="1" applyFont="1" applyAlignment="1">
      <alignment/>
    </xf>
    <xf numFmtId="0" fontId="33" fillId="0" borderId="0" xfId="0" applyFont="1" applyAlignment="1">
      <alignment/>
    </xf>
    <xf numFmtId="178" fontId="27" fillId="2" borderId="2" xfId="23" applyNumberFormat="1" applyFont="1" applyFill="1" applyBorder="1">
      <alignment/>
      <protection/>
    </xf>
    <xf numFmtId="0" fontId="28" fillId="0" borderId="9" xfId="23" applyFont="1" applyBorder="1" applyAlignment="1" applyProtection="1">
      <alignment horizontal="center"/>
      <protection locked="0"/>
    </xf>
    <xf numFmtId="1" fontId="28" fillId="0" borderId="3" xfId="21" applyNumberFormat="1" applyFont="1" applyBorder="1" applyAlignment="1" applyProtection="1">
      <alignment horizontal="center"/>
      <protection locked="0"/>
    </xf>
    <xf numFmtId="1" fontId="28" fillId="0" borderId="9" xfId="21" applyNumberFormat="1" applyFont="1" applyBorder="1" applyAlignment="1" applyProtection="1">
      <alignment horizontal="center"/>
      <protection locked="0"/>
    </xf>
    <xf numFmtId="1" fontId="28" fillId="0" borderId="11" xfId="21" applyNumberFormat="1" applyFont="1" applyBorder="1" applyAlignment="1" applyProtection="1">
      <alignment horizontal="center"/>
      <protection locked="0"/>
    </xf>
    <xf numFmtId="1" fontId="28" fillId="0" borderId="2" xfId="21" applyNumberFormat="1" applyFont="1" applyBorder="1" applyAlignment="1" applyProtection="1">
      <alignment horizontal="center"/>
      <protection locked="0"/>
    </xf>
    <xf numFmtId="177" fontId="28" fillId="0" borderId="0" xfId="23" applyNumberFormat="1" applyFont="1" applyBorder="1" applyAlignment="1" applyProtection="1">
      <alignment horizontal="center"/>
      <protection locked="0"/>
    </xf>
    <xf numFmtId="177" fontId="34" fillId="0" borderId="0" xfId="23" applyNumberFormat="1" applyFont="1" applyBorder="1" applyProtection="1">
      <alignment/>
      <protection locked="0"/>
    </xf>
    <xf numFmtId="177" fontId="28" fillId="2" borderId="0" xfId="23" applyNumberFormat="1" applyFont="1" applyFill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178" fontId="28" fillId="0" borderId="2" xfId="23" applyNumberFormat="1" applyFont="1" applyBorder="1" applyProtection="1">
      <alignment/>
      <protection locked="0"/>
    </xf>
    <xf numFmtId="178" fontId="34" fillId="0" borderId="0" xfId="0" applyNumberFormat="1" applyFont="1" applyAlignment="1">
      <alignment/>
    </xf>
    <xf numFmtId="0" fontId="34" fillId="0" borderId="0" xfId="0" applyFont="1" applyAlignment="1">
      <alignment/>
    </xf>
    <xf numFmtId="178" fontId="28" fillId="2" borderId="2" xfId="23" applyNumberFormat="1" applyFont="1" applyFill="1" applyBorder="1">
      <alignment/>
      <protection/>
    </xf>
    <xf numFmtId="0" fontId="22" fillId="0" borderId="2" xfId="23" applyFont="1" applyBorder="1" applyProtection="1">
      <alignment/>
      <protection locked="0"/>
    </xf>
    <xf numFmtId="1" fontId="18" fillId="0" borderId="2" xfId="21" applyNumberFormat="1" applyFont="1" applyBorder="1" applyAlignment="1" applyProtection="1">
      <alignment horizontal="center"/>
      <protection locked="0"/>
    </xf>
    <xf numFmtId="4" fontId="18" fillId="0" borderId="2" xfId="23" applyNumberFormat="1" applyFont="1" applyBorder="1" applyAlignment="1" applyProtection="1">
      <alignment horizontal="center"/>
      <protection locked="0"/>
    </xf>
    <xf numFmtId="4" fontId="18" fillId="2" borderId="5" xfId="23" applyNumberFormat="1" applyFont="1" applyFill="1" applyBorder="1" applyAlignment="1" applyProtection="1">
      <alignment horizontal="center"/>
      <protection locked="0"/>
    </xf>
    <xf numFmtId="4" fontId="18" fillId="2" borderId="2" xfId="23" applyNumberFormat="1" applyFont="1" applyFill="1" applyBorder="1" applyAlignment="1">
      <alignment horizontal="center"/>
      <protection/>
    </xf>
    <xf numFmtId="177" fontId="18" fillId="0" borderId="0" xfId="23" applyNumberFormat="1" applyFont="1" applyBorder="1" applyProtection="1">
      <alignment/>
      <protection locked="0"/>
    </xf>
    <xf numFmtId="0" fontId="18" fillId="0" borderId="2" xfId="23" applyFont="1" applyBorder="1" applyProtection="1">
      <alignment/>
      <protection locked="0"/>
    </xf>
    <xf numFmtId="184" fontId="18" fillId="0" borderId="2" xfId="21" applyNumberFormat="1" applyFont="1" applyBorder="1" applyAlignment="1" applyProtection="1">
      <alignment horizontal="center"/>
      <protection locked="0"/>
    </xf>
    <xf numFmtId="4" fontId="18" fillId="2" borderId="0" xfId="23" applyNumberFormat="1" applyFont="1" applyFill="1" applyBorder="1" applyAlignment="1">
      <alignment horizontal="center"/>
      <protection/>
    </xf>
    <xf numFmtId="4" fontId="18" fillId="0" borderId="0" xfId="23" applyNumberFormat="1" applyFont="1" applyBorder="1" applyAlignment="1" applyProtection="1">
      <alignment horizontal="center"/>
      <protection locked="0"/>
    </xf>
    <xf numFmtId="4" fontId="18" fillId="0" borderId="2" xfId="21" applyNumberFormat="1" applyFont="1" applyBorder="1" applyAlignment="1" applyProtection="1">
      <alignment horizontal="center"/>
      <protection locked="0"/>
    </xf>
    <xf numFmtId="3" fontId="18" fillId="0" borderId="2" xfId="21" applyNumberFormat="1" applyFont="1" applyBorder="1" applyAlignment="1" applyProtection="1">
      <alignment horizontal="center"/>
      <protection locked="0"/>
    </xf>
    <xf numFmtId="0" fontId="18" fillId="0" borderId="9" xfId="23" applyFont="1" applyBorder="1" applyProtection="1">
      <alignment/>
      <protection locked="0"/>
    </xf>
    <xf numFmtId="0" fontId="18" fillId="0" borderId="9" xfId="23" applyFont="1" applyBorder="1" applyAlignment="1" applyProtection="1">
      <alignment horizontal="left"/>
      <protection locked="0"/>
    </xf>
    <xf numFmtId="3" fontId="18" fillId="0" borderId="0" xfId="23" applyNumberFormat="1" applyFont="1" applyBorder="1" applyProtection="1">
      <alignment/>
      <protection locked="0"/>
    </xf>
    <xf numFmtId="0" fontId="26" fillId="2" borderId="0" xfId="0" applyFont="1" applyFill="1" applyBorder="1" applyAlignment="1">
      <alignment/>
    </xf>
    <xf numFmtId="177" fontId="18" fillId="0" borderId="0" xfId="0" applyNumberFormat="1" applyFont="1" applyBorder="1" applyAlignment="1">
      <alignment/>
    </xf>
    <xf numFmtId="177" fontId="18" fillId="2" borderId="0" xfId="23" applyNumberFormat="1" applyFont="1" applyFill="1" applyBorder="1" applyProtection="1">
      <alignment/>
      <protection locked="0"/>
    </xf>
    <xf numFmtId="0" fontId="27" fillId="2" borderId="0" xfId="0" applyFont="1" applyFill="1" applyBorder="1" applyAlignment="1">
      <alignment/>
    </xf>
    <xf numFmtId="177" fontId="27" fillId="0" borderId="0" xfId="0" applyNumberFormat="1" applyFont="1" applyBorder="1" applyAlignment="1">
      <alignment/>
    </xf>
    <xf numFmtId="177" fontId="27" fillId="2" borderId="0" xfId="23" applyNumberFormat="1" applyFont="1" applyFill="1" applyBorder="1" applyProtection="1">
      <alignment/>
      <protection locked="0"/>
    </xf>
    <xf numFmtId="177" fontId="27" fillId="0" borderId="0" xfId="23" applyNumberFormat="1" applyFont="1" applyBorder="1" applyProtection="1">
      <alignment/>
      <protection locked="0"/>
    </xf>
    <xf numFmtId="0" fontId="33" fillId="0" borderId="0" xfId="0" applyFont="1" applyBorder="1" applyAlignment="1">
      <alignment/>
    </xf>
    <xf numFmtId="0" fontId="18" fillId="0" borderId="0" xfId="23" applyFont="1" applyBorder="1" applyProtection="1">
      <alignment/>
      <protection locked="0"/>
    </xf>
    <xf numFmtId="0" fontId="18" fillId="0" borderId="0" xfId="23" applyFont="1" applyBorder="1" applyAlignment="1" applyProtection="1" quotePrefix="1">
      <alignment horizontal="left"/>
      <protection locked="0"/>
    </xf>
    <xf numFmtId="178" fontId="18" fillId="3" borderId="2" xfId="23" applyNumberFormat="1" applyFont="1" applyFill="1" applyBorder="1" applyProtection="1">
      <alignment/>
      <protection locked="0"/>
    </xf>
    <xf numFmtId="177" fontId="18" fillId="0" borderId="2" xfId="23" applyNumberFormat="1" applyFont="1" applyBorder="1" applyAlignment="1" applyProtection="1">
      <alignment horizontal="center" vertical="center"/>
      <protection locked="0"/>
    </xf>
    <xf numFmtId="177" fontId="18" fillId="0" borderId="6" xfId="23" applyNumberFormat="1" applyFont="1" applyBorder="1" applyAlignment="1" applyProtection="1">
      <alignment horizontal="center" vertical="center"/>
      <protection locked="0"/>
    </xf>
    <xf numFmtId="177" fontId="18" fillId="2" borderId="2" xfId="21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27" fillId="0" borderId="2" xfId="23" applyFont="1" applyBorder="1" applyAlignment="1" applyProtection="1">
      <alignment horizontal="center"/>
      <protection locked="0"/>
    </xf>
    <xf numFmtId="1" fontId="27" fillId="0" borderId="2" xfId="0" applyNumberFormat="1" applyFont="1" applyBorder="1" applyAlignment="1">
      <alignment horizontal="center"/>
    </xf>
    <xf numFmtId="1" fontId="27" fillId="0" borderId="2" xfId="23" applyNumberFormat="1" applyFont="1" applyBorder="1" applyAlignment="1" applyProtection="1">
      <alignment horizontal="center"/>
      <protection locked="0"/>
    </xf>
    <xf numFmtId="1" fontId="27" fillId="2" borderId="2" xfId="23" applyNumberFormat="1" applyFont="1" applyFill="1" applyBorder="1" applyAlignment="1" applyProtection="1">
      <alignment horizontal="center"/>
      <protection locked="0"/>
    </xf>
    <xf numFmtId="1" fontId="27" fillId="2" borderId="2" xfId="23" applyNumberFormat="1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center"/>
    </xf>
    <xf numFmtId="178" fontId="27" fillId="0" borderId="2" xfId="23" applyNumberFormat="1" applyFont="1" applyBorder="1" applyAlignment="1" applyProtection="1">
      <alignment horizontal="center"/>
      <protection locked="0"/>
    </xf>
    <xf numFmtId="178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78" fontId="27" fillId="2" borderId="2" xfId="23" applyNumberFormat="1" applyFont="1" applyFill="1" applyBorder="1" applyAlignment="1">
      <alignment horizontal="center"/>
      <protection/>
    </xf>
    <xf numFmtId="0" fontId="18" fillId="0" borderId="2" xfId="23" applyFont="1" applyBorder="1" applyAlignment="1" applyProtection="1">
      <alignment vertical="center" wrapText="1"/>
      <protection locked="0"/>
    </xf>
    <xf numFmtId="2" fontId="18" fillId="0" borderId="2" xfId="0" applyNumberFormat="1" applyFont="1" applyBorder="1" applyAlignment="1">
      <alignment horizontal="center"/>
    </xf>
    <xf numFmtId="2" fontId="18" fillId="0" borderId="2" xfId="23" applyNumberFormat="1" applyFont="1" applyBorder="1" applyAlignment="1" applyProtection="1">
      <alignment horizontal="center"/>
      <protection locked="0"/>
    </xf>
    <xf numFmtId="4" fontId="18" fillId="0" borderId="0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0" fontId="18" fillId="2" borderId="0" xfId="0" applyFont="1" applyFill="1" applyBorder="1" applyAlignment="1">
      <alignment/>
    </xf>
    <xf numFmtId="0" fontId="18" fillId="2" borderId="0" xfId="23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2" borderId="0" xfId="0" applyFont="1" applyFill="1" applyBorder="1" applyAlignment="1" applyProtection="1">
      <alignment/>
      <protection locked="0"/>
    </xf>
    <xf numFmtId="0" fontId="18" fillId="0" borderId="0" xfId="21" applyFont="1" applyBorder="1" applyProtection="1">
      <alignment/>
      <protection locked="0"/>
    </xf>
    <xf numFmtId="177" fontId="18" fillId="2" borderId="0" xfId="21" applyNumberFormat="1" applyFont="1" applyFill="1" applyBorder="1" applyProtection="1">
      <alignment/>
      <protection locked="0"/>
    </xf>
    <xf numFmtId="0" fontId="18" fillId="0" borderId="0" xfId="21" applyFont="1" applyBorder="1" applyAlignment="1" applyProtection="1">
      <alignment horizontal="left"/>
      <protection locked="0"/>
    </xf>
    <xf numFmtId="2" fontId="18" fillId="0" borderId="2" xfId="21" applyNumberFormat="1" applyFont="1" applyBorder="1" applyProtection="1">
      <alignment/>
      <protection locked="0"/>
    </xf>
    <xf numFmtId="177" fontId="18" fillId="0" borderId="0" xfId="21" applyNumberFormat="1" applyFont="1" applyBorder="1" applyProtection="1">
      <alignment/>
      <protection locked="0"/>
    </xf>
    <xf numFmtId="49" fontId="26" fillId="0" borderId="0" xfId="0" applyNumberFormat="1" applyFont="1" applyBorder="1" applyAlignment="1">
      <alignment/>
    </xf>
    <xf numFmtId="0" fontId="18" fillId="0" borderId="0" xfId="21" applyFont="1" applyBorder="1" applyAlignment="1" applyProtection="1" quotePrefix="1">
      <alignment horizontal="left"/>
      <protection locked="0"/>
    </xf>
    <xf numFmtId="178" fontId="18" fillId="2" borderId="2" xfId="23" applyNumberFormat="1" applyFont="1" applyFill="1" applyBorder="1" applyProtection="1">
      <alignment/>
      <protection locked="0"/>
    </xf>
    <xf numFmtId="177" fontId="18" fillId="2" borderId="0" xfId="21" applyNumberFormat="1" applyFont="1" applyFill="1" applyBorder="1" applyProtection="1">
      <alignment/>
      <protection/>
    </xf>
    <xf numFmtId="178" fontId="18" fillId="2" borderId="2" xfId="21" applyNumberFormat="1" applyFont="1" applyFill="1" applyBorder="1" applyProtection="1">
      <alignment/>
      <protection/>
    </xf>
    <xf numFmtId="177" fontId="18" fillId="4" borderId="0" xfId="23" applyNumberFormat="1" applyFont="1" applyFill="1" applyBorder="1">
      <alignment/>
      <protection/>
    </xf>
    <xf numFmtId="177" fontId="19" fillId="2" borderId="0" xfId="23" applyNumberFormat="1" applyFont="1" applyFill="1" applyBorder="1">
      <alignment/>
      <protection/>
    </xf>
    <xf numFmtId="177" fontId="29" fillId="2" borderId="0" xfId="23" applyNumberFormat="1" applyFont="1" applyFill="1" applyBorder="1">
      <alignment/>
      <protection/>
    </xf>
    <xf numFmtId="177" fontId="20" fillId="2" borderId="0" xfId="23" applyNumberFormat="1" applyFont="1" applyFill="1" applyBorder="1">
      <alignment/>
      <protection/>
    </xf>
    <xf numFmtId="178" fontId="18" fillId="0" borderId="0" xfId="0" applyNumberFormat="1" applyFont="1" applyAlignment="1">
      <alignment/>
    </xf>
    <xf numFmtId="177" fontId="18" fillId="4" borderId="0" xfId="21" applyNumberFormat="1" applyFont="1" applyFill="1" applyBorder="1" applyProtection="1">
      <alignment/>
      <protection/>
    </xf>
    <xf numFmtId="0" fontId="18" fillId="2" borderId="0" xfId="21" applyFont="1" applyFill="1" applyBorder="1" applyProtection="1">
      <alignment/>
      <protection/>
    </xf>
    <xf numFmtId="0" fontId="18" fillId="2" borderId="0" xfId="21" applyFont="1" applyFill="1" applyBorder="1" applyProtection="1">
      <alignment/>
      <protection locked="0"/>
    </xf>
    <xf numFmtId="0" fontId="18" fillId="5" borderId="0" xfId="21" applyFont="1" applyFill="1" applyBorder="1" applyAlignment="1" applyProtection="1" quotePrefix="1">
      <alignment horizontal="left"/>
      <protection locked="0"/>
    </xf>
    <xf numFmtId="177" fontId="18" fillId="5" borderId="0" xfId="23" applyNumberFormat="1" applyFont="1" applyFill="1" applyBorder="1" applyProtection="1">
      <alignment/>
      <protection locked="0"/>
    </xf>
    <xf numFmtId="1" fontId="18" fillId="5" borderId="0" xfId="23" applyNumberFormat="1" applyFont="1" applyFill="1" applyBorder="1" applyProtection="1">
      <alignment/>
      <protection locked="0"/>
    </xf>
    <xf numFmtId="177" fontId="18" fillId="5" borderId="0" xfId="23" applyNumberFormat="1" applyFont="1" applyFill="1" applyBorder="1">
      <alignment/>
      <protection/>
    </xf>
    <xf numFmtId="0" fontId="19" fillId="5" borderId="0" xfId="21" applyFont="1" applyFill="1" applyBorder="1" applyAlignment="1" applyProtection="1">
      <alignment horizontal="center"/>
      <protection locked="0"/>
    </xf>
    <xf numFmtId="177" fontId="19" fillId="5" borderId="0" xfId="23" applyNumberFormat="1" applyFont="1" applyFill="1" applyBorder="1" applyProtection="1">
      <alignment/>
      <protection locked="0"/>
    </xf>
    <xf numFmtId="1" fontId="20" fillId="5" borderId="0" xfId="23" applyNumberFormat="1" applyFont="1" applyFill="1" applyBorder="1" applyProtection="1">
      <alignment/>
      <protection locked="0"/>
    </xf>
    <xf numFmtId="0" fontId="18" fillId="5" borderId="0" xfId="23" applyFont="1" applyFill="1" applyBorder="1">
      <alignment/>
      <protection/>
    </xf>
    <xf numFmtId="0" fontId="18" fillId="5" borderId="0" xfId="21" applyFont="1" applyFill="1" applyBorder="1" applyProtection="1">
      <alignment/>
      <protection locked="0"/>
    </xf>
    <xf numFmtId="0" fontId="26" fillId="0" borderId="0" xfId="21" applyFont="1" applyBorder="1" applyAlignment="1" applyProtection="1">
      <alignment horizontal="left"/>
      <protection locked="0"/>
    </xf>
    <xf numFmtId="1" fontId="18" fillId="0" borderId="0" xfId="21" applyNumberFormat="1" applyFont="1" applyBorder="1" applyProtection="1">
      <alignment/>
      <protection locked="0"/>
    </xf>
    <xf numFmtId="1" fontId="26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79" fontId="18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4" fontId="21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2" fontId="22" fillId="0" borderId="0" xfId="0" applyNumberFormat="1" applyFont="1" applyAlignment="1">
      <alignment/>
    </xf>
    <xf numFmtId="177" fontId="22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8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78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center"/>
    </xf>
    <xf numFmtId="0" fontId="26" fillId="0" borderId="2" xfId="0" applyFont="1" applyBorder="1" applyAlignment="1">
      <alignment horizontal="center"/>
    </xf>
    <xf numFmtId="177" fontId="26" fillId="0" borderId="2" xfId="0" applyNumberFormat="1" applyFont="1" applyBorder="1" applyAlignment="1">
      <alignment horizontal="center"/>
    </xf>
    <xf numFmtId="178" fontId="26" fillId="0" borderId="2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 vertical="justify" wrapText="1"/>
    </xf>
    <xf numFmtId="0" fontId="18" fillId="0" borderId="2" xfId="0" applyFont="1" applyBorder="1" applyAlignment="1">
      <alignment horizontal="center" vertical="justify" wrapText="1"/>
    </xf>
    <xf numFmtId="0" fontId="18" fillId="0" borderId="0" xfId="0" applyFont="1" applyAlignment="1">
      <alignment horizontal="center" vertical="justify" wrapText="1"/>
    </xf>
    <xf numFmtId="0" fontId="36" fillId="0" borderId="2" xfId="0" applyFont="1" applyBorder="1" applyAlignment="1">
      <alignment horizontal="center"/>
    </xf>
    <xf numFmtId="177" fontId="36" fillId="0" borderId="2" xfId="0" applyNumberFormat="1" applyFont="1" applyBorder="1" applyAlignment="1">
      <alignment horizontal="center"/>
    </xf>
    <xf numFmtId="178" fontId="40" fillId="0" borderId="2" xfId="0" applyNumberFormat="1" applyFont="1" applyBorder="1" applyAlignment="1">
      <alignment horizontal="center"/>
    </xf>
    <xf numFmtId="1" fontId="4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78" fontId="31" fillId="0" borderId="0" xfId="0" applyNumberFormat="1" applyFont="1" applyAlignment="1">
      <alignment/>
    </xf>
    <xf numFmtId="184" fontId="31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85" fontId="18" fillId="0" borderId="0" xfId="0" applyNumberFormat="1" applyFont="1" applyAlignment="1">
      <alignment/>
    </xf>
    <xf numFmtId="188" fontId="18" fillId="0" borderId="0" xfId="0" applyNumberFormat="1" applyFont="1" applyAlignment="1">
      <alignment/>
    </xf>
    <xf numFmtId="0" fontId="18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185" fontId="22" fillId="0" borderId="2" xfId="23" applyNumberFormat="1" applyFont="1" applyBorder="1" applyAlignment="1" applyProtection="1">
      <alignment horizontal="center"/>
      <protection locked="0"/>
    </xf>
    <xf numFmtId="185" fontId="22" fillId="2" borderId="2" xfId="23" applyNumberFormat="1" applyFont="1" applyFill="1" applyBorder="1" applyAlignment="1" applyProtection="1">
      <alignment horizontal="center"/>
      <protection locked="0"/>
    </xf>
    <xf numFmtId="0" fontId="22" fillId="0" borderId="2" xfId="23" applyFont="1" applyBorder="1" applyAlignment="1" applyProtection="1">
      <alignment horizontal="left"/>
      <protection locked="0"/>
    </xf>
    <xf numFmtId="0" fontId="22" fillId="0" borderId="2" xfId="0" applyFont="1" applyBorder="1" applyAlignment="1">
      <alignment/>
    </xf>
    <xf numFmtId="0" fontId="22" fillId="2" borderId="2" xfId="23" applyFont="1" applyFill="1" applyBorder="1" applyAlignment="1" applyProtection="1">
      <alignment horizontal="left"/>
      <protection locked="0"/>
    </xf>
    <xf numFmtId="185" fontId="22" fillId="2" borderId="9" xfId="23" applyNumberFormat="1" applyFont="1" applyFill="1" applyBorder="1" applyAlignment="1" applyProtection="1">
      <alignment horizontal="center"/>
      <protection locked="0"/>
    </xf>
    <xf numFmtId="177" fontId="18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22" fillId="0" borderId="0" xfId="0" applyNumberFormat="1" applyFont="1" applyAlignment="1">
      <alignment/>
    </xf>
    <xf numFmtId="0" fontId="26" fillId="0" borderId="9" xfId="0" applyFont="1" applyBorder="1" applyAlignment="1">
      <alignment horizontal="center"/>
    </xf>
    <xf numFmtId="0" fontId="26" fillId="0" borderId="7" xfId="0" applyFont="1" applyBorder="1" applyAlignment="1">
      <alignment horizontal="right"/>
    </xf>
    <xf numFmtId="185" fontId="26" fillId="0" borderId="2" xfId="0" applyNumberFormat="1" applyFont="1" applyBorder="1" applyAlignment="1">
      <alignment horizontal="center"/>
    </xf>
    <xf numFmtId="185" fontId="41" fillId="0" borderId="2" xfId="0" applyNumberFormat="1" applyFont="1" applyBorder="1" applyAlignment="1">
      <alignment/>
    </xf>
    <xf numFmtId="185" fontId="42" fillId="0" borderId="2" xfId="0" applyNumberFormat="1" applyFont="1" applyBorder="1" applyAlignment="1">
      <alignment/>
    </xf>
    <xf numFmtId="185" fontId="43" fillId="0" borderId="2" xfId="0" applyNumberFormat="1" applyFont="1" applyBorder="1" applyAlignment="1">
      <alignment/>
    </xf>
    <xf numFmtId="185" fontId="44" fillId="0" borderId="2" xfId="0" applyNumberFormat="1" applyFont="1" applyBorder="1" applyAlignment="1">
      <alignment/>
    </xf>
    <xf numFmtId="185" fontId="26" fillId="0" borderId="2" xfId="0" applyNumberFormat="1" applyFont="1" applyBorder="1" applyAlignment="1">
      <alignment/>
    </xf>
    <xf numFmtId="185" fontId="45" fillId="0" borderId="2" xfId="0" applyNumberFormat="1" applyFont="1" applyBorder="1" applyAlignment="1">
      <alignment/>
    </xf>
    <xf numFmtId="185" fontId="26" fillId="0" borderId="0" xfId="0" applyNumberFormat="1" applyFont="1" applyAlignment="1">
      <alignment horizontal="center"/>
    </xf>
    <xf numFmtId="185" fontId="46" fillId="0" borderId="2" xfId="0" applyNumberFormat="1" applyFont="1" applyBorder="1" applyAlignment="1">
      <alignment/>
    </xf>
    <xf numFmtId="0" fontId="22" fillId="2" borderId="2" xfId="23" applyFont="1" applyFill="1" applyBorder="1" applyProtection="1">
      <alignment/>
      <protection locked="0"/>
    </xf>
    <xf numFmtId="185" fontId="19" fillId="2" borderId="9" xfId="21" applyNumberFormat="1" applyFont="1" applyFill="1" applyBorder="1" applyAlignment="1" applyProtection="1">
      <alignment horizontal="center"/>
      <protection locked="0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4" xfId="23" applyFont="1" applyBorder="1" applyProtection="1">
      <alignment/>
      <protection locked="0"/>
    </xf>
    <xf numFmtId="185" fontId="22" fillId="0" borderId="14" xfId="23" applyNumberFormat="1" applyFont="1" applyBorder="1" applyAlignment="1" applyProtection="1">
      <alignment horizontal="center"/>
      <protection locked="0"/>
    </xf>
    <xf numFmtId="185" fontId="22" fillId="2" borderId="14" xfId="23" applyNumberFormat="1" applyFont="1" applyFill="1" applyBorder="1" applyAlignment="1" applyProtection="1">
      <alignment horizontal="center"/>
      <protection locked="0"/>
    </xf>
    <xf numFmtId="0" fontId="22" fillId="0" borderId="9" xfId="0" applyFont="1" applyBorder="1" applyAlignment="1">
      <alignment horizontal="center"/>
    </xf>
    <xf numFmtId="0" fontId="22" fillId="0" borderId="9" xfId="23" applyFont="1" applyBorder="1" applyProtection="1">
      <alignment/>
      <protection locked="0"/>
    </xf>
    <xf numFmtId="185" fontId="22" fillId="0" borderId="9" xfId="23" applyNumberFormat="1" applyFont="1" applyBorder="1" applyAlignment="1" applyProtection="1">
      <alignment horizontal="center"/>
      <protection locked="0"/>
    </xf>
    <xf numFmtId="0" fontId="22" fillId="0" borderId="4" xfId="0" applyFont="1" applyBorder="1" applyAlignment="1">
      <alignment horizontal="center"/>
    </xf>
    <xf numFmtId="0" fontId="22" fillId="0" borderId="4" xfId="23" applyFont="1" applyBorder="1" applyProtection="1">
      <alignment/>
      <protection locked="0"/>
    </xf>
    <xf numFmtId="185" fontId="22" fillId="0" borderId="4" xfId="23" applyNumberFormat="1" applyFont="1" applyBorder="1" applyAlignment="1" applyProtection="1">
      <alignment horizontal="center"/>
      <protection locked="0"/>
    </xf>
    <xf numFmtId="185" fontId="22" fillId="2" borderId="4" xfId="23" applyNumberFormat="1" applyFont="1" applyFill="1" applyBorder="1" applyAlignment="1" applyProtection="1">
      <alignment horizontal="center"/>
      <protection locked="0"/>
    </xf>
    <xf numFmtId="185" fontId="22" fillId="2" borderId="8" xfId="23" applyNumberFormat="1" applyFont="1" applyFill="1" applyBorder="1" applyAlignment="1" applyProtection="1">
      <alignment horizontal="center"/>
      <protection locked="0"/>
    </xf>
    <xf numFmtId="185" fontId="26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185" fontId="44" fillId="0" borderId="2" xfId="0" applyNumberFormat="1" applyFont="1" applyBorder="1" applyAlignment="1">
      <alignment horizontal="center"/>
    </xf>
    <xf numFmtId="185" fontId="42" fillId="0" borderId="2" xfId="0" applyNumberFormat="1" applyFont="1" applyBorder="1" applyAlignment="1">
      <alignment horizontal="center"/>
    </xf>
    <xf numFmtId="185" fontId="43" fillId="0" borderId="2" xfId="0" applyNumberFormat="1" applyFont="1" applyBorder="1" applyAlignment="1">
      <alignment horizontal="center"/>
    </xf>
    <xf numFmtId="185" fontId="41" fillId="0" borderId="2" xfId="0" applyNumberFormat="1" applyFont="1" applyBorder="1" applyAlignment="1">
      <alignment horizontal="center"/>
    </xf>
    <xf numFmtId="185" fontId="46" fillId="0" borderId="4" xfId="0" applyNumberFormat="1" applyFont="1" applyBorder="1" applyAlignment="1">
      <alignment horizontal="center"/>
    </xf>
    <xf numFmtId="185" fontId="46" fillId="0" borderId="0" xfId="0" applyNumberFormat="1" applyFont="1" applyAlignment="1">
      <alignment horizontal="center"/>
    </xf>
    <xf numFmtId="185" fontId="45" fillId="0" borderId="2" xfId="0" applyNumberFormat="1" applyFont="1" applyBorder="1" applyAlignment="1">
      <alignment horizontal="center"/>
    </xf>
    <xf numFmtId="0" fontId="26" fillId="6" borderId="0" xfId="0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26" fillId="0" borderId="5" xfId="0" applyFont="1" applyBorder="1" applyAlignment="1">
      <alignment/>
    </xf>
    <xf numFmtId="0" fontId="26" fillId="0" borderId="7" xfId="0" applyFont="1" applyBorder="1" applyAlignment="1">
      <alignment/>
    </xf>
    <xf numFmtId="2" fontId="26" fillId="0" borderId="7" xfId="0" applyNumberFormat="1" applyFont="1" applyBorder="1" applyAlignment="1">
      <alignment horizontal="left"/>
    </xf>
    <xf numFmtId="178" fontId="26" fillId="0" borderId="7" xfId="0" applyNumberFormat="1" applyFont="1" applyBorder="1" applyAlignment="1">
      <alignment horizontal="left"/>
    </xf>
    <xf numFmtId="0" fontId="36" fillId="0" borderId="5" xfId="0" applyFont="1" applyBorder="1" applyAlignment="1">
      <alignment horizontal="right"/>
    </xf>
    <xf numFmtId="0" fontId="36" fillId="0" borderId="7" xfId="0" applyFont="1" applyBorder="1" applyAlignment="1">
      <alignment/>
    </xf>
    <xf numFmtId="0" fontId="36" fillId="0" borderId="2" xfId="0" applyFont="1" applyBorder="1" applyAlignment="1">
      <alignment/>
    </xf>
    <xf numFmtId="0" fontId="36" fillId="0" borderId="5" xfId="0" applyFont="1" applyBorder="1" applyAlignment="1">
      <alignment/>
    </xf>
    <xf numFmtId="2" fontId="36" fillId="0" borderId="7" xfId="0" applyNumberFormat="1" applyFont="1" applyBorder="1" applyAlignment="1">
      <alignment horizontal="left"/>
    </xf>
    <xf numFmtId="0" fontId="26" fillId="0" borderId="6" xfId="0" applyFont="1" applyBorder="1" applyAlignment="1">
      <alignment/>
    </xf>
    <xf numFmtId="0" fontId="26" fillId="0" borderId="15" xfId="0" applyFont="1" applyBorder="1" applyAlignment="1">
      <alignment/>
    </xf>
    <xf numFmtId="0" fontId="36" fillId="0" borderId="6" xfId="0" applyFont="1" applyBorder="1" applyAlignment="1">
      <alignment/>
    </xf>
    <xf numFmtId="4" fontId="26" fillId="2" borderId="0" xfId="0" applyNumberFormat="1" applyFont="1" applyFill="1" applyAlignment="1">
      <alignment/>
    </xf>
    <xf numFmtId="0" fontId="18" fillId="0" borderId="2" xfId="0" applyFont="1" applyBorder="1" applyAlignment="1">
      <alignment vertical="center" wrapText="1"/>
    </xf>
    <xf numFmtId="0" fontId="26" fillId="0" borderId="0" xfId="0" applyFont="1" applyBorder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3" xfId="23" applyFont="1" applyBorder="1">
      <alignment/>
      <protection/>
    </xf>
    <xf numFmtId="0" fontId="48" fillId="0" borderId="3" xfId="23" applyFont="1" applyBorder="1">
      <alignment/>
      <protection/>
    </xf>
    <xf numFmtId="0" fontId="48" fillId="0" borderId="3" xfId="0" applyFont="1" applyBorder="1" applyAlignment="1">
      <alignment/>
    </xf>
    <xf numFmtId="0" fontId="48" fillId="0" borderId="0" xfId="23" applyFont="1">
      <alignment/>
      <protection/>
    </xf>
    <xf numFmtId="0" fontId="51" fillId="0" borderId="2" xfId="23" applyFont="1" applyBorder="1" applyAlignment="1">
      <alignment horizontal="center" vertical="center" wrapText="1"/>
      <protection/>
    </xf>
    <xf numFmtId="0" fontId="51" fillId="0" borderId="7" xfId="23" applyFont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47" fillId="0" borderId="2" xfId="23" applyFont="1" applyBorder="1" applyAlignment="1">
      <alignment horizontal="center"/>
      <protection/>
    </xf>
    <xf numFmtId="0" fontId="48" fillId="0" borderId="2" xfId="23" applyFont="1" applyBorder="1">
      <alignment/>
      <protection/>
    </xf>
    <xf numFmtId="0" fontId="48" fillId="0" borderId="2" xfId="23" applyFont="1" applyBorder="1" applyAlignment="1">
      <alignment horizontal="center"/>
      <protection/>
    </xf>
    <xf numFmtId="0" fontId="18" fillId="0" borderId="2" xfId="23" applyFont="1" applyBorder="1" applyAlignment="1">
      <alignment horizontal="center"/>
      <protection/>
    </xf>
    <xf numFmtId="177" fontId="48" fillId="0" borderId="2" xfId="23" applyNumberFormat="1" applyFont="1" applyBorder="1" applyAlignment="1">
      <alignment horizontal="center"/>
      <protection/>
    </xf>
    <xf numFmtId="0" fontId="52" fillId="0" borderId="2" xfId="0" applyFont="1" applyBorder="1" applyAlignment="1">
      <alignment/>
    </xf>
    <xf numFmtId="0" fontId="53" fillId="0" borderId="2" xfId="23" applyFont="1" applyBorder="1">
      <alignment/>
      <protection/>
    </xf>
    <xf numFmtId="4" fontId="53" fillId="0" borderId="2" xfId="23" applyNumberFormat="1" applyFont="1" applyBorder="1" applyAlignment="1">
      <alignment horizontal="center"/>
      <protection/>
    </xf>
    <xf numFmtId="184" fontId="53" fillId="0" borderId="2" xfId="23" applyNumberFormat="1" applyFont="1" applyBorder="1" applyAlignment="1">
      <alignment horizontal="center"/>
      <protection/>
    </xf>
    <xf numFmtId="185" fontId="53" fillId="0" borderId="2" xfId="23" applyNumberFormat="1" applyFont="1" applyBorder="1" applyAlignment="1">
      <alignment horizontal="center"/>
      <protection/>
    </xf>
    <xf numFmtId="0" fontId="53" fillId="0" borderId="2" xfId="0" applyFont="1" applyBorder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23" applyFont="1" applyBorder="1">
      <alignment/>
      <protection/>
    </xf>
    <xf numFmtId="4" fontId="53" fillId="0" borderId="0" xfId="23" applyNumberFormat="1" applyFont="1" applyBorder="1" applyAlignment="1">
      <alignment horizontal="center"/>
      <protection/>
    </xf>
    <xf numFmtId="184" fontId="53" fillId="0" borderId="0" xfId="23" applyNumberFormat="1" applyFont="1" applyBorder="1" applyAlignment="1">
      <alignment horizontal="center"/>
      <protection/>
    </xf>
    <xf numFmtId="185" fontId="53" fillId="0" borderId="0" xfId="23" applyNumberFormat="1" applyFont="1" applyBorder="1" applyAlignment="1">
      <alignment horizontal="center"/>
      <protection/>
    </xf>
    <xf numFmtId="0" fontId="53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9" fontId="48" fillId="0" borderId="0" xfId="23" applyNumberFormat="1" applyFont="1">
      <alignment/>
      <protection/>
    </xf>
    <xf numFmtId="177" fontId="54" fillId="0" borderId="0" xfId="0" applyNumberFormat="1" applyFont="1" applyAlignment="1">
      <alignment horizontal="center"/>
    </xf>
    <xf numFmtId="0" fontId="47" fillId="2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vertical="center"/>
    </xf>
    <xf numFmtId="3" fontId="48" fillId="0" borderId="2" xfId="23" applyNumberFormat="1" applyFont="1" applyBorder="1" applyAlignment="1">
      <alignment horizontal="center"/>
      <protection/>
    </xf>
    <xf numFmtId="0" fontId="22" fillId="0" borderId="0" xfId="0" applyFont="1" applyBorder="1" applyAlignment="1">
      <alignment/>
    </xf>
    <xf numFmtId="0" fontId="26" fillId="0" borderId="5" xfId="0" applyFont="1" applyBorder="1" applyAlignment="1">
      <alignment horizontal="right"/>
    </xf>
    <xf numFmtId="0" fontId="26" fillId="0" borderId="2" xfId="0" applyFont="1" applyBorder="1" applyAlignment="1">
      <alignment/>
    </xf>
    <xf numFmtId="2" fontId="26" fillId="0" borderId="0" xfId="0" applyNumberFormat="1" applyFont="1" applyAlignment="1">
      <alignment horizontal="right"/>
    </xf>
    <xf numFmtId="178" fontId="26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78" fontId="26" fillId="2" borderId="0" xfId="0" applyNumberFormat="1" applyFont="1" applyFill="1" applyAlignment="1">
      <alignment/>
    </xf>
    <xf numFmtId="4" fontId="26" fillId="0" borderId="2" xfId="0" applyNumberFormat="1" applyFont="1" applyBorder="1" applyAlignment="1">
      <alignment horizontal="center"/>
    </xf>
    <xf numFmtId="4" fontId="36" fillId="0" borderId="2" xfId="0" applyNumberFormat="1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84" fontId="18" fillId="0" borderId="2" xfId="23" applyNumberFormat="1" applyFont="1" applyBorder="1" applyAlignment="1" applyProtection="1">
      <alignment horizontal="center"/>
      <protection locked="0"/>
    </xf>
    <xf numFmtId="184" fontId="18" fillId="2" borderId="2" xfId="23" applyNumberFormat="1" applyFont="1" applyFill="1" applyBorder="1" applyAlignment="1">
      <alignment horizontal="center"/>
      <protection/>
    </xf>
    <xf numFmtId="185" fontId="22" fillId="0" borderId="2" xfId="23" applyNumberFormat="1" applyFont="1" applyBorder="1" applyAlignment="1" applyProtection="1">
      <alignment/>
      <protection locked="0"/>
    </xf>
    <xf numFmtId="185" fontId="22" fillId="0" borderId="14" xfId="23" applyNumberFormat="1" applyFont="1" applyBorder="1" applyAlignment="1" applyProtection="1">
      <alignment/>
      <protection locked="0"/>
    </xf>
    <xf numFmtId="185" fontId="19" fillId="2" borderId="9" xfId="21" applyNumberFormat="1" applyFont="1" applyFill="1" applyBorder="1" applyAlignment="1" applyProtection="1">
      <alignment/>
      <protection locked="0"/>
    </xf>
    <xf numFmtId="0" fontId="22" fillId="0" borderId="14" xfId="23" applyFont="1" applyBorder="1" applyAlignment="1" applyProtection="1">
      <alignment horizontal="left"/>
      <protection locked="0"/>
    </xf>
    <xf numFmtId="0" fontId="18" fillId="0" borderId="2" xfId="0" applyFont="1" applyBorder="1" applyAlignment="1">
      <alignment/>
    </xf>
    <xf numFmtId="184" fontId="18" fillId="0" borderId="2" xfId="0" applyNumberFormat="1" applyFont="1" applyBorder="1" applyAlignment="1">
      <alignment horizontal="center"/>
    </xf>
    <xf numFmtId="178" fontId="18" fillId="0" borderId="2" xfId="23" applyNumberFormat="1" applyFont="1" applyBorder="1" applyAlignment="1" applyProtection="1">
      <alignment horizontal="center"/>
      <protection locked="0"/>
    </xf>
    <xf numFmtId="177" fontId="27" fillId="0" borderId="2" xfId="23" applyNumberFormat="1" applyFont="1" applyBorder="1" applyAlignment="1" applyProtection="1">
      <alignment horizontal="center" vertical="center" wrapText="1"/>
      <protection locked="0"/>
    </xf>
    <xf numFmtId="185" fontId="22" fillId="0" borderId="9" xfId="23" applyNumberFormat="1" applyFont="1" applyFill="1" applyBorder="1" applyAlignment="1" applyProtection="1">
      <alignment horizontal="center"/>
      <protection locked="0"/>
    </xf>
    <xf numFmtId="0" fontId="22" fillId="0" borderId="16" xfId="0" applyFont="1" applyBorder="1" applyAlignment="1">
      <alignment horizontal="center"/>
    </xf>
    <xf numFmtId="0" fontId="22" fillId="0" borderId="16" xfId="23" applyFont="1" applyBorder="1" applyProtection="1">
      <alignment/>
      <protection locked="0"/>
    </xf>
    <xf numFmtId="185" fontId="22" fillId="0" borderId="16" xfId="23" applyNumberFormat="1" applyFont="1" applyBorder="1" applyAlignment="1" applyProtection="1">
      <alignment/>
      <protection locked="0"/>
    </xf>
    <xf numFmtId="185" fontId="22" fillId="2" borderId="16" xfId="23" applyNumberFormat="1" applyFont="1" applyFill="1" applyBorder="1" applyAlignment="1" applyProtection="1">
      <alignment horizontal="center"/>
      <protection locked="0"/>
    </xf>
    <xf numFmtId="1" fontId="26" fillId="0" borderId="2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177" fontId="22" fillId="2" borderId="0" xfId="23" applyNumberFormat="1" applyFont="1" applyFill="1" applyBorder="1">
      <alignment/>
      <protection/>
    </xf>
    <xf numFmtId="177" fontId="22" fillId="0" borderId="0" xfId="23" applyNumberFormat="1" applyFont="1" applyBorder="1" applyProtection="1">
      <alignment/>
      <protection locked="0"/>
    </xf>
    <xf numFmtId="195" fontId="31" fillId="0" borderId="0" xfId="0" applyNumberFormat="1" applyFont="1" applyAlignment="1">
      <alignment/>
    </xf>
    <xf numFmtId="184" fontId="26" fillId="0" borderId="2" xfId="0" applyNumberFormat="1" applyFont="1" applyBorder="1" applyAlignment="1">
      <alignment horizontal="center"/>
    </xf>
    <xf numFmtId="0" fontId="25" fillId="0" borderId="2" xfId="0" applyFont="1" applyBorder="1" applyAlignment="1">
      <alignment/>
    </xf>
    <xf numFmtId="49" fontId="18" fillId="0" borderId="17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18" fillId="0" borderId="4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77" fontId="18" fillId="2" borderId="5" xfId="23" applyNumberFormat="1" applyFont="1" applyFill="1" applyBorder="1" applyAlignment="1">
      <alignment horizontal="center" vertical="center"/>
      <protection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49" fontId="18" fillId="0" borderId="2" xfId="23" applyNumberFormat="1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16" fillId="2" borderId="4" xfId="23" applyNumberFormat="1" applyFont="1" applyFill="1" applyBorder="1" applyAlignment="1">
      <alignment horizontal="center" vertical="center" wrapText="1"/>
      <protection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77" fontId="16" fillId="0" borderId="18" xfId="23" applyNumberFormat="1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7" fontId="16" fillId="0" borderId="15" xfId="23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23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2">
    <cellStyle name="Normal" xfId="0"/>
    <cellStyle name="Hyperlink" xfId="15"/>
    <cellStyle name="ДАТА" xfId="16"/>
    <cellStyle name="ДЕНЕЖНЫЙ" xfId="17"/>
    <cellStyle name="ЗАГОЛОВОК1" xfId="18"/>
    <cellStyle name="ЗАГОЛОВОК2" xfId="19"/>
    <cellStyle name="ИТОГОВЫЙ" xfId="20"/>
    <cellStyle name="Обычный_VCL_OKT" xfId="21"/>
    <cellStyle name="ПРОЦЕНТНЫЙ" xfId="22"/>
    <cellStyle name="ТЕКСТ" xfId="23"/>
    <cellStyle name="ФИКСИРОВАННЫЙ" xfId="24"/>
    <cellStyle name="ФИНАНСОВЫЙ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2\rab_exel\RAB_EXEL\TAMARA\RMPP_GKX\ARXIV\1999\W99_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мощь"/>
      <sheetName val="потребители"/>
      <sheetName val="все  ли счета "/>
      <sheetName val="тарифы"/>
      <sheetName val="дни отопл"/>
      <sheetName val="основные счета"/>
      <sheetName val="счета для св.цехов"/>
      <sheetName val="счета на дотацию"/>
      <sheetName val="прочие счета"/>
      <sheetName val="предъявл.счета"/>
      <sheetName val="оплата насел"/>
      <sheetName val="источник оплаты"/>
      <sheetName val="оплата"/>
      <sheetName val="свод оплаты"/>
      <sheetName val="отчет по оплате"/>
      <sheetName val="оплата со сч.64"/>
      <sheetName val="ведомость 06"/>
    </sheetNames>
    <sheetDataSet>
      <sheetData sheetId="4">
        <row r="3">
          <cell r="A3">
            <v>1</v>
          </cell>
          <cell r="B3">
            <v>31</v>
          </cell>
        </row>
        <row r="4">
          <cell r="A4">
            <v>2</v>
          </cell>
          <cell r="B4">
            <v>31</v>
          </cell>
        </row>
        <row r="5">
          <cell r="A5">
            <v>3</v>
          </cell>
          <cell r="B5">
            <v>31</v>
          </cell>
        </row>
        <row r="6">
          <cell r="A6">
            <v>4</v>
          </cell>
          <cell r="B6">
            <v>31</v>
          </cell>
        </row>
        <row r="7">
          <cell r="A7">
            <v>5</v>
          </cell>
          <cell r="B7">
            <v>31</v>
          </cell>
        </row>
        <row r="8">
          <cell r="A8">
            <v>0</v>
          </cell>
          <cell r="B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1" sqref="A1"/>
    </sheetView>
  </sheetViews>
  <sheetFormatPr defaultColWidth="8.88671875" defaultRowHeight="15"/>
  <cols>
    <col min="1" max="1" width="4.77734375" style="1" customWidth="1"/>
    <col min="2" max="2" width="7.6640625" style="1" customWidth="1"/>
    <col min="3" max="5" width="8.88671875" style="1" customWidth="1"/>
    <col min="6" max="6" width="9.21484375" style="1" customWidth="1"/>
    <col min="7" max="8" width="8.88671875" style="1" customWidth="1"/>
    <col min="9" max="9" width="6.6640625" style="1" customWidth="1"/>
    <col min="10" max="16384" width="8.88671875" style="1" customWidth="1"/>
  </cols>
  <sheetData>
    <row r="1" spans="2:5" ht="18">
      <c r="B1" s="8"/>
      <c r="C1" s="8" t="s">
        <v>254</v>
      </c>
      <c r="D1" s="8"/>
      <c r="E1" s="8"/>
    </row>
    <row r="2" spans="1:5" ht="18">
      <c r="A2" s="3"/>
      <c r="B2" s="3"/>
      <c r="C2" s="3"/>
      <c r="D2" s="3"/>
      <c r="E2" s="8" t="s">
        <v>278</v>
      </c>
    </row>
    <row r="3" spans="1:5" ht="15.75">
      <c r="A3" s="3"/>
      <c r="B3" s="3"/>
      <c r="C3" s="3"/>
      <c r="D3" s="3"/>
      <c r="E3" s="3"/>
    </row>
    <row r="7" spans="2:8" ht="15.75">
      <c r="B7" s="1" t="s">
        <v>90</v>
      </c>
      <c r="G7" s="283">
        <f>SUM(G9:G11)</f>
        <v>35.269999999999996</v>
      </c>
      <c r="H7" s="9" t="s">
        <v>98</v>
      </c>
    </row>
    <row r="8" spans="7:8" ht="15">
      <c r="G8" s="284"/>
      <c r="H8" s="11"/>
    </row>
    <row r="9" spans="2:8" ht="15">
      <c r="B9" s="13" t="s">
        <v>157</v>
      </c>
      <c r="C9" s="11" t="s">
        <v>350</v>
      </c>
      <c r="D9" s="11"/>
      <c r="E9" s="11"/>
      <c r="F9" s="11"/>
      <c r="G9" s="285">
        <v>30.77</v>
      </c>
      <c r="H9" s="11" t="s">
        <v>98</v>
      </c>
    </row>
    <row r="10" spans="3:8" ht="15">
      <c r="C10" s="11"/>
      <c r="D10" s="11"/>
      <c r="E10" s="11"/>
      <c r="F10" s="11"/>
      <c r="G10" s="285"/>
      <c r="H10" s="11"/>
    </row>
    <row r="11" spans="2:8" ht="15">
      <c r="B11" s="13" t="s">
        <v>157</v>
      </c>
      <c r="C11" s="11" t="s">
        <v>51</v>
      </c>
      <c r="D11" s="11"/>
      <c r="E11" s="11"/>
      <c r="F11" s="11"/>
      <c r="G11" s="14">
        <v>4.5</v>
      </c>
      <c r="H11" s="11" t="s">
        <v>98</v>
      </c>
    </row>
    <row r="12" spans="3:8" ht="15">
      <c r="C12" s="11"/>
      <c r="D12" s="11"/>
      <c r="E12" s="11"/>
      <c r="F12" s="11"/>
      <c r="G12" s="285"/>
      <c r="H12" s="11"/>
    </row>
    <row r="13" spans="2:8" ht="15.75">
      <c r="B13" s="1" t="s">
        <v>211</v>
      </c>
      <c r="G13" s="4">
        <f>SUM(G17)</f>
        <v>20</v>
      </c>
      <c r="H13" s="9" t="s">
        <v>98</v>
      </c>
    </row>
    <row r="14" spans="2:7" ht="15">
      <c r="B14" s="2"/>
      <c r="G14" s="286"/>
    </row>
    <row r="15" spans="2:9" ht="15" customHeight="1" hidden="1">
      <c r="B15" s="13" t="s">
        <v>157</v>
      </c>
      <c r="C15" s="11" t="s">
        <v>210</v>
      </c>
      <c r="D15" s="11"/>
      <c r="E15" s="11"/>
      <c r="F15" s="11"/>
      <c r="G15" s="14">
        <v>11</v>
      </c>
      <c r="H15" s="11" t="s">
        <v>98</v>
      </c>
      <c r="I15" s="11"/>
    </row>
    <row r="16" spans="3:9" ht="15" hidden="1">
      <c r="C16" s="11"/>
      <c r="D16" s="11"/>
      <c r="E16" s="11"/>
      <c r="F16" s="11"/>
      <c r="G16" s="14"/>
      <c r="H16" s="11"/>
      <c r="I16" s="11"/>
    </row>
    <row r="17" spans="2:9" ht="15">
      <c r="B17" s="13" t="s">
        <v>157</v>
      </c>
      <c r="C17" s="11" t="s">
        <v>161</v>
      </c>
      <c r="D17" s="11"/>
      <c r="E17" s="11"/>
      <c r="F17" s="11"/>
      <c r="G17" s="14">
        <v>20</v>
      </c>
      <c r="H17" s="11" t="s">
        <v>98</v>
      </c>
      <c r="I17" s="11"/>
    </row>
    <row r="24" spans="3:6" ht="15">
      <c r="C24" s="1" t="s">
        <v>160</v>
      </c>
      <c r="F24" s="1" t="s">
        <v>39</v>
      </c>
    </row>
    <row r="55" spans="2:3" ht="18">
      <c r="B55" s="8" t="s">
        <v>40</v>
      </c>
      <c r="C55" s="8"/>
    </row>
    <row r="56" ht="18">
      <c r="C56" s="8" t="s">
        <v>41</v>
      </c>
    </row>
    <row r="59" spans="3:4" s="33" customFormat="1" ht="15">
      <c r="C59" s="34" t="s">
        <v>81</v>
      </c>
      <c r="D59" s="35"/>
    </row>
    <row r="60" s="33" customFormat="1" ht="14.25"/>
    <row r="61" s="33" customFormat="1" ht="14.25">
      <c r="B61" s="33" t="s">
        <v>42</v>
      </c>
    </row>
    <row r="62" s="33" customFormat="1" ht="14.25"/>
    <row r="63" s="33" customFormat="1" ht="14.25">
      <c r="B63" s="33" t="s">
        <v>43</v>
      </c>
    </row>
    <row r="64" s="33" customFormat="1" ht="14.25"/>
    <row r="65" s="33" customFormat="1" ht="14.25">
      <c r="B65" s="33" t="s">
        <v>44</v>
      </c>
    </row>
    <row r="66" s="33" customFormat="1" ht="14.25"/>
    <row r="67" s="33" customFormat="1" ht="14.25"/>
    <row r="68" s="33" customFormat="1" ht="15">
      <c r="C68" s="33" t="s">
        <v>45</v>
      </c>
    </row>
    <row r="69" s="33" customFormat="1" ht="14.25"/>
    <row r="70" s="33" customFormat="1" ht="14.25"/>
    <row r="71" s="33" customFormat="1" ht="15">
      <c r="C71" s="34" t="s">
        <v>46</v>
      </c>
    </row>
    <row r="72" s="33" customFormat="1" ht="14.25"/>
    <row r="73" s="33" customFormat="1" ht="14.25">
      <c r="B73" s="33" t="s">
        <v>42</v>
      </c>
    </row>
    <row r="74" s="33" customFormat="1" ht="14.25"/>
    <row r="75" s="33" customFormat="1" ht="14.25">
      <c r="B75" s="33" t="s">
        <v>47</v>
      </c>
    </row>
    <row r="76" s="33" customFormat="1" ht="14.25"/>
    <row r="77" s="33" customFormat="1" ht="14.25">
      <c r="B77" s="33" t="s">
        <v>44</v>
      </c>
    </row>
    <row r="78" s="33" customFormat="1" ht="14.25"/>
    <row r="79" s="33" customFormat="1" ht="14.25"/>
    <row r="80" s="33" customFormat="1" ht="15">
      <c r="C80" s="33" t="s">
        <v>48</v>
      </c>
    </row>
    <row r="81" ht="15"/>
    <row r="82" ht="15"/>
    <row r="83" ht="15"/>
    <row r="84" ht="15"/>
    <row r="85" ht="15"/>
    <row r="86" ht="15"/>
    <row r="87" ht="15"/>
    <row r="88" ht="15"/>
    <row r="89" ht="15"/>
    <row r="90" spans="3:7" ht="15">
      <c r="C90" s="33" t="s">
        <v>68</v>
      </c>
      <c r="D90" s="33"/>
      <c r="E90" s="33"/>
      <c r="F90" s="33" t="s">
        <v>39</v>
      </c>
      <c r="G90" s="33"/>
    </row>
  </sheetData>
  <printOptions horizontalCentered="1"/>
  <pageMargins left="0.7874015748031497" right="0.3937007874015748" top="0.7874015748031497" bottom="0.3937007874015748" header="0" footer="0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1"/>
  <sheetViews>
    <sheetView showGridLines="0" workbookViewId="0" topLeftCell="A10">
      <selection activeCell="A13" sqref="A13:K13"/>
    </sheetView>
  </sheetViews>
  <sheetFormatPr defaultColWidth="8.88671875" defaultRowHeight="15"/>
  <cols>
    <col min="1" max="1" width="3.99609375" style="401" customWidth="1"/>
    <col min="2" max="2" width="15.88671875" style="375" customWidth="1"/>
    <col min="3" max="3" width="4.77734375" style="375" customWidth="1"/>
    <col min="4" max="4" width="8.99609375" style="375" customWidth="1"/>
    <col min="5" max="5" width="9.10546875" style="375" customWidth="1"/>
    <col min="6" max="6" width="9.21484375" style="375" customWidth="1"/>
    <col min="7" max="7" width="10.21484375" style="375" hidden="1" customWidth="1"/>
    <col min="8" max="8" width="6.77734375" style="375" hidden="1" customWidth="1"/>
    <col min="9" max="9" width="10.10546875" style="375" customWidth="1"/>
    <col min="10" max="10" width="9.3359375" style="375" customWidth="1"/>
    <col min="11" max="11" width="9.4453125" style="375" customWidth="1"/>
    <col min="12" max="16384" width="9.77734375" style="375" customWidth="1"/>
  </cols>
  <sheetData>
    <row r="1" spans="1:10" s="374" customFormat="1" ht="12.75">
      <c r="A1" s="373"/>
      <c r="B1" s="374" t="s">
        <v>50</v>
      </c>
      <c r="J1" s="374" t="s">
        <v>38</v>
      </c>
    </row>
    <row r="2" spans="1:10" s="374" customFormat="1" ht="12.75">
      <c r="A2" s="373"/>
      <c r="B2" s="374" t="s">
        <v>368</v>
      </c>
      <c r="J2" s="374" t="s">
        <v>232</v>
      </c>
    </row>
    <row r="3" spans="1:10" s="374" customFormat="1" ht="12.75">
      <c r="A3" s="373"/>
      <c r="B3" s="374" t="s">
        <v>231</v>
      </c>
      <c r="J3" s="374" t="s">
        <v>408</v>
      </c>
    </row>
    <row r="4" s="374" customFormat="1" ht="12.75">
      <c r="A4" s="373"/>
    </row>
    <row r="5" spans="1:10" s="374" customFormat="1" ht="12.75">
      <c r="A5" s="373"/>
      <c r="B5" s="374" t="s">
        <v>392</v>
      </c>
      <c r="J5" s="374" t="s">
        <v>418</v>
      </c>
    </row>
    <row r="6" s="374" customFormat="1" ht="12.75">
      <c r="A6" s="373"/>
    </row>
    <row r="7" s="374" customFormat="1" ht="12.75">
      <c r="A7" s="373"/>
    </row>
    <row r="8" s="374" customFormat="1" ht="12.75">
      <c r="A8" s="373"/>
    </row>
    <row r="9" s="374" customFormat="1" ht="12.75">
      <c r="A9" s="373"/>
    </row>
    <row r="10" spans="1:11" ht="15" customHeight="1">
      <c r="A10" s="480" t="s">
        <v>49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</row>
    <row r="11" spans="1:11" ht="15.75">
      <c r="A11" s="480" t="s">
        <v>419</v>
      </c>
      <c r="B11" s="447"/>
      <c r="C11" s="447"/>
      <c r="D11" s="447"/>
      <c r="E11" s="447"/>
      <c r="F11" s="447"/>
      <c r="G11" s="447"/>
      <c r="H11" s="447"/>
      <c r="I11" s="447"/>
      <c r="J11" s="447"/>
      <c r="K11" s="447"/>
    </row>
    <row r="12" spans="1:11" ht="15.75">
      <c r="A12" s="480" t="s">
        <v>379</v>
      </c>
      <c r="B12" s="447"/>
      <c r="C12" s="447"/>
      <c r="D12" s="447"/>
      <c r="E12" s="447"/>
      <c r="F12" s="447"/>
      <c r="G12" s="447"/>
      <c r="H12" s="447"/>
      <c r="I12" s="447"/>
      <c r="J12" s="447"/>
      <c r="K12" s="447"/>
    </row>
    <row r="13" spans="1:11" ht="15.75">
      <c r="A13" s="481"/>
      <c r="B13" s="447"/>
      <c r="C13" s="447"/>
      <c r="D13" s="447"/>
      <c r="E13" s="447"/>
      <c r="F13" s="447"/>
      <c r="G13" s="447"/>
      <c r="H13" s="447"/>
      <c r="I13" s="447"/>
      <c r="J13" s="447"/>
      <c r="K13" s="447"/>
    </row>
    <row r="14" spans="1:11" ht="12.75">
      <c r="A14" s="376"/>
      <c r="B14" s="377"/>
      <c r="C14" s="377"/>
      <c r="D14" s="377"/>
      <c r="E14" s="377"/>
      <c r="F14" s="377"/>
      <c r="G14" s="377"/>
      <c r="H14" s="377"/>
      <c r="I14" s="377"/>
      <c r="J14" s="378"/>
      <c r="K14" s="379"/>
    </row>
    <row r="15" spans="1:11" s="382" customFormat="1" ht="48.75" customHeight="1">
      <c r="A15" s="380" t="s">
        <v>93</v>
      </c>
      <c r="B15" s="380" t="s">
        <v>67</v>
      </c>
      <c r="C15" s="381" t="s">
        <v>78</v>
      </c>
      <c r="D15" s="381" t="s">
        <v>396</v>
      </c>
      <c r="E15" s="381" t="s">
        <v>76</v>
      </c>
      <c r="F15" s="381" t="s">
        <v>275</v>
      </c>
      <c r="G15" s="381" t="s">
        <v>65</v>
      </c>
      <c r="H15" s="381"/>
      <c r="I15" s="381" t="s">
        <v>276</v>
      </c>
      <c r="J15" s="381" t="s">
        <v>277</v>
      </c>
      <c r="K15" s="380" t="s">
        <v>77</v>
      </c>
    </row>
    <row r="16" spans="1:11" ht="12.75">
      <c r="A16" s="383">
        <v>1</v>
      </c>
      <c r="B16" s="384" t="s">
        <v>416</v>
      </c>
      <c r="C16" s="385">
        <v>33</v>
      </c>
      <c r="D16" s="386">
        <v>184.19</v>
      </c>
      <c r="E16" s="407">
        <v>516</v>
      </c>
      <c r="F16" s="385">
        <v>0.71</v>
      </c>
      <c r="G16" s="385">
        <v>529</v>
      </c>
      <c r="H16" s="385">
        <v>5</v>
      </c>
      <c r="I16" s="387">
        <f aca="true" t="shared" si="0" ref="I16:I27">ROUND(+E16*F16*1*(20-(-9.8))*24*242/1000000,3)</f>
        <v>63.409</v>
      </c>
      <c r="J16" s="387">
        <f aca="true" t="shared" si="1" ref="J16:J27">ROUND(+I16/D16/8,3)</f>
        <v>0.043</v>
      </c>
      <c r="K16" s="385">
        <v>3</v>
      </c>
    </row>
    <row r="17" spans="1:11" ht="12.75">
      <c r="A17" s="383">
        <v>2</v>
      </c>
      <c r="B17" s="384" t="s">
        <v>414</v>
      </c>
      <c r="C17" s="385">
        <v>5</v>
      </c>
      <c r="D17" s="386">
        <v>528.49</v>
      </c>
      <c r="E17" s="407">
        <v>2800</v>
      </c>
      <c r="F17" s="385">
        <v>0.5</v>
      </c>
      <c r="G17" s="385">
        <v>258</v>
      </c>
      <c r="H17" s="385">
        <v>1</v>
      </c>
      <c r="I17" s="387">
        <f t="shared" si="0"/>
        <v>242.31</v>
      </c>
      <c r="J17" s="387">
        <f t="shared" si="1"/>
        <v>0.057</v>
      </c>
      <c r="K17" s="385">
        <v>1</v>
      </c>
    </row>
    <row r="18" spans="1:11" ht="12.75">
      <c r="A18" s="383">
        <v>3</v>
      </c>
      <c r="B18" s="384" t="s">
        <v>414</v>
      </c>
      <c r="C18" s="385">
        <v>6</v>
      </c>
      <c r="D18" s="386">
        <v>524.4</v>
      </c>
      <c r="E18" s="407">
        <v>2760</v>
      </c>
      <c r="F18" s="385">
        <v>0.5</v>
      </c>
      <c r="G18" s="385">
        <v>659</v>
      </c>
      <c r="H18" s="385">
        <v>5</v>
      </c>
      <c r="I18" s="387">
        <f t="shared" si="0"/>
        <v>238.848</v>
      </c>
      <c r="J18" s="387">
        <f t="shared" si="1"/>
        <v>0.057</v>
      </c>
      <c r="K18" s="385">
        <v>1</v>
      </c>
    </row>
    <row r="19" spans="1:11" ht="12.75">
      <c r="A19" s="383">
        <v>4</v>
      </c>
      <c r="B19" s="384" t="s">
        <v>414</v>
      </c>
      <c r="C19" s="385">
        <v>7</v>
      </c>
      <c r="D19" s="385">
        <v>523</v>
      </c>
      <c r="E19" s="407">
        <v>2760</v>
      </c>
      <c r="F19" s="385">
        <v>0.5</v>
      </c>
      <c r="G19" s="385">
        <v>609</v>
      </c>
      <c r="H19" s="385">
        <v>5</v>
      </c>
      <c r="I19" s="387">
        <f t="shared" si="0"/>
        <v>238.848</v>
      </c>
      <c r="J19" s="387">
        <f t="shared" si="1"/>
        <v>0.057</v>
      </c>
      <c r="K19" s="385">
        <v>1</v>
      </c>
    </row>
    <row r="20" spans="1:11" ht="12.75">
      <c r="A20" s="383">
        <v>5</v>
      </c>
      <c r="B20" s="384" t="s">
        <v>414</v>
      </c>
      <c r="C20" s="385" t="s">
        <v>417</v>
      </c>
      <c r="D20" s="385">
        <v>124.95</v>
      </c>
      <c r="E20" s="407">
        <v>362</v>
      </c>
      <c r="F20" s="385">
        <v>0.74</v>
      </c>
      <c r="G20" s="385">
        <v>499</v>
      </c>
      <c r="H20" s="385">
        <v>3</v>
      </c>
      <c r="I20" s="387">
        <f t="shared" si="0"/>
        <v>46.364</v>
      </c>
      <c r="J20" s="387">
        <f t="shared" si="1"/>
        <v>0.046</v>
      </c>
      <c r="K20" s="385">
        <v>2</v>
      </c>
    </row>
    <row r="21" spans="1:11" ht="12.75">
      <c r="A21" s="383">
        <v>6</v>
      </c>
      <c r="B21" s="384" t="s">
        <v>414</v>
      </c>
      <c r="C21" s="385">
        <v>8</v>
      </c>
      <c r="D21" s="386">
        <v>536.58</v>
      </c>
      <c r="E21" s="407">
        <v>2840</v>
      </c>
      <c r="F21" s="385">
        <v>0.5</v>
      </c>
      <c r="G21" s="385"/>
      <c r="H21" s="385"/>
      <c r="I21" s="387">
        <f t="shared" si="0"/>
        <v>245.771</v>
      </c>
      <c r="J21" s="387">
        <f t="shared" si="1"/>
        <v>0.057</v>
      </c>
      <c r="K21" s="385">
        <v>1</v>
      </c>
    </row>
    <row r="22" spans="1:11" ht="12.75">
      <c r="A22" s="383">
        <v>7</v>
      </c>
      <c r="B22" s="384" t="s">
        <v>414</v>
      </c>
      <c r="C22" s="385">
        <v>18</v>
      </c>
      <c r="D22" s="386">
        <v>331.6</v>
      </c>
      <c r="E22" s="407">
        <v>1750</v>
      </c>
      <c r="F22" s="385">
        <v>0.55</v>
      </c>
      <c r="G22" s="385"/>
      <c r="H22" s="385"/>
      <c r="I22" s="387">
        <f t="shared" si="0"/>
        <v>166.588</v>
      </c>
      <c r="J22" s="387">
        <f t="shared" si="1"/>
        <v>0.063</v>
      </c>
      <c r="K22" s="385">
        <v>1</v>
      </c>
    </row>
    <row r="23" spans="1:11" ht="12.75">
      <c r="A23" s="383">
        <v>8</v>
      </c>
      <c r="B23" s="384" t="s">
        <v>414</v>
      </c>
      <c r="C23" s="385">
        <v>25</v>
      </c>
      <c r="D23" s="386">
        <v>862.72</v>
      </c>
      <c r="E23" s="407">
        <v>6793</v>
      </c>
      <c r="F23" s="385">
        <v>0.42</v>
      </c>
      <c r="G23" s="385"/>
      <c r="H23" s="385"/>
      <c r="I23" s="387">
        <f t="shared" si="0"/>
        <v>493.803</v>
      </c>
      <c r="J23" s="387">
        <f t="shared" si="1"/>
        <v>0.072</v>
      </c>
      <c r="K23" s="385">
        <v>3</v>
      </c>
    </row>
    <row r="24" spans="1:11" ht="12.75">
      <c r="A24" s="383">
        <v>9</v>
      </c>
      <c r="B24" s="384" t="s">
        <v>415</v>
      </c>
      <c r="C24" s="385">
        <v>1</v>
      </c>
      <c r="D24" s="386">
        <v>508.8</v>
      </c>
      <c r="E24" s="407">
        <v>2690</v>
      </c>
      <c r="F24" s="385">
        <v>0.52</v>
      </c>
      <c r="G24" s="385">
        <v>628</v>
      </c>
      <c r="H24" s="385">
        <v>5</v>
      </c>
      <c r="I24" s="387">
        <f t="shared" si="0"/>
        <v>242.102</v>
      </c>
      <c r="J24" s="387">
        <f t="shared" si="1"/>
        <v>0.059</v>
      </c>
      <c r="K24" s="385">
        <v>1</v>
      </c>
    </row>
    <row r="25" spans="1:11" ht="12.75">
      <c r="A25" s="383">
        <v>10</v>
      </c>
      <c r="B25" s="384" t="s">
        <v>415</v>
      </c>
      <c r="C25" s="385">
        <v>2</v>
      </c>
      <c r="D25" s="386">
        <v>528.5</v>
      </c>
      <c r="E25" s="407">
        <v>2800</v>
      </c>
      <c r="F25" s="385">
        <v>0.5</v>
      </c>
      <c r="G25" s="385">
        <v>938</v>
      </c>
      <c r="H25" s="385">
        <v>5</v>
      </c>
      <c r="I25" s="387">
        <f t="shared" si="0"/>
        <v>242.31</v>
      </c>
      <c r="J25" s="387">
        <f t="shared" si="1"/>
        <v>0.057</v>
      </c>
      <c r="K25" s="385">
        <v>1</v>
      </c>
    </row>
    <row r="26" spans="1:11" ht="12.75">
      <c r="A26" s="383">
        <v>11</v>
      </c>
      <c r="B26" s="384" t="s">
        <v>415</v>
      </c>
      <c r="C26" s="385">
        <v>3</v>
      </c>
      <c r="D26" s="385">
        <v>521</v>
      </c>
      <c r="E26" s="407">
        <v>2760</v>
      </c>
      <c r="F26" s="385">
        <v>0.5</v>
      </c>
      <c r="G26" s="385"/>
      <c r="H26" s="385"/>
      <c r="I26" s="387">
        <f t="shared" si="0"/>
        <v>238.848</v>
      </c>
      <c r="J26" s="387">
        <f t="shared" si="1"/>
        <v>0.057</v>
      </c>
      <c r="K26" s="385">
        <v>1</v>
      </c>
    </row>
    <row r="27" spans="1:11" ht="12.75">
      <c r="A27" s="383">
        <v>12</v>
      </c>
      <c r="B27" s="384" t="s">
        <v>415</v>
      </c>
      <c r="C27" s="385">
        <v>4</v>
      </c>
      <c r="D27" s="386">
        <v>524.1</v>
      </c>
      <c r="E27" s="407">
        <v>2770</v>
      </c>
      <c r="F27" s="385">
        <v>0.5</v>
      </c>
      <c r="G27" s="385"/>
      <c r="H27" s="385"/>
      <c r="I27" s="387">
        <f t="shared" si="0"/>
        <v>239.714</v>
      </c>
      <c r="J27" s="387">
        <f t="shared" si="1"/>
        <v>0.057</v>
      </c>
      <c r="K27" s="385">
        <v>1</v>
      </c>
    </row>
    <row r="28" spans="1:11" s="394" customFormat="1" ht="12.75">
      <c r="A28" s="388"/>
      <c r="B28" s="389" t="s">
        <v>0</v>
      </c>
      <c r="C28" s="389"/>
      <c r="D28" s="390">
        <f>SUM(D16:D27)</f>
        <v>5698.330000000001</v>
      </c>
      <c r="E28" s="391">
        <f>SUBTOTAL(9,E23:E27)</f>
        <v>17813</v>
      </c>
      <c r="F28" s="389"/>
      <c r="G28" s="389">
        <f>SUM(G18:G27)</f>
        <v>3333</v>
      </c>
      <c r="H28" s="389">
        <f>SUM(H18:H27)</f>
        <v>23</v>
      </c>
      <c r="I28" s="392">
        <f>SUBTOTAL(9,I18:I27)</f>
        <v>2393.196</v>
      </c>
      <c r="J28" s="392">
        <f>I28/D28/8</f>
        <v>0.05249774934059627</v>
      </c>
      <c r="K28" s="393"/>
    </row>
    <row r="29" spans="1:11" s="394" customFormat="1" ht="12.75">
      <c r="A29" s="395"/>
      <c r="B29" s="396"/>
      <c r="C29" s="396"/>
      <c r="D29" s="397"/>
      <c r="E29" s="398"/>
      <c r="F29" s="396"/>
      <c r="G29" s="396"/>
      <c r="H29" s="396"/>
      <c r="I29" s="399"/>
      <c r="J29" s="399"/>
      <c r="K29" s="400"/>
    </row>
    <row r="30" spans="1:11" s="394" customFormat="1" ht="12.75">
      <c r="A30" s="395"/>
      <c r="B30" s="396"/>
      <c r="C30" s="396"/>
      <c r="D30" s="397"/>
      <c r="E30" s="398"/>
      <c r="F30" s="396"/>
      <c r="G30" s="396"/>
      <c r="H30" s="396"/>
      <c r="I30" s="399"/>
      <c r="J30" s="399"/>
      <c r="K30" s="400"/>
    </row>
    <row r="31" spans="1:11" s="394" customFormat="1" ht="12.75">
      <c r="A31" s="395"/>
      <c r="B31" s="396"/>
      <c r="C31" s="396"/>
      <c r="D31" s="397"/>
      <c r="E31" s="398"/>
      <c r="F31" s="396"/>
      <c r="G31" s="396"/>
      <c r="H31" s="396"/>
      <c r="I31" s="399"/>
      <c r="J31" s="399"/>
      <c r="K31" s="400"/>
    </row>
    <row r="32" spans="1:11" s="394" customFormat="1" ht="12.75">
      <c r="A32" s="395"/>
      <c r="B32" s="396"/>
      <c r="C32" s="396"/>
      <c r="D32" s="397"/>
      <c r="E32" s="398"/>
      <c r="F32" s="396"/>
      <c r="G32" s="396"/>
      <c r="H32" s="396"/>
      <c r="I32" s="399"/>
      <c r="J32" s="399"/>
      <c r="K32" s="400"/>
    </row>
    <row r="33" spans="1:11" s="394" customFormat="1" ht="12.75">
      <c r="A33" s="395"/>
      <c r="B33" s="396"/>
      <c r="C33" s="396"/>
      <c r="D33" s="397"/>
      <c r="E33" s="398"/>
      <c r="F33" s="396"/>
      <c r="G33" s="396"/>
      <c r="H33" s="396"/>
      <c r="I33" s="399"/>
      <c r="J33" s="399"/>
      <c r="K33" s="400"/>
    </row>
    <row r="34" spans="1:11" s="394" customFormat="1" ht="12.75">
      <c r="A34" s="395"/>
      <c r="B34" s="396"/>
      <c r="C34" s="396"/>
      <c r="D34" s="397"/>
      <c r="E34" s="398"/>
      <c r="F34" s="396"/>
      <c r="G34" s="396"/>
      <c r="H34" s="396"/>
      <c r="I34" s="399"/>
      <c r="J34" s="399"/>
      <c r="K34" s="400"/>
    </row>
    <row r="35" spans="1:11" s="394" customFormat="1" ht="12.75">
      <c r="A35" s="395"/>
      <c r="B35" s="396"/>
      <c r="C35" s="396"/>
      <c r="D35" s="397"/>
      <c r="E35" s="398"/>
      <c r="F35" s="396"/>
      <c r="G35" s="396"/>
      <c r="H35" s="396"/>
      <c r="I35" s="399"/>
      <c r="J35" s="399"/>
      <c r="K35" s="400"/>
    </row>
    <row r="36" spans="2:11" ht="12.75">
      <c r="B36" s="379"/>
      <c r="C36" s="379"/>
      <c r="D36" s="379"/>
      <c r="E36" s="379"/>
      <c r="F36" s="402"/>
      <c r="G36" s="402"/>
      <c r="H36" s="402"/>
      <c r="I36" s="379"/>
      <c r="J36" s="403"/>
      <c r="K36" s="379"/>
    </row>
    <row r="37" spans="2:9" ht="12.75">
      <c r="B37" s="379"/>
      <c r="C37" s="379"/>
      <c r="D37" s="379" t="s">
        <v>68</v>
      </c>
      <c r="E37" s="377"/>
      <c r="F37" s="377"/>
      <c r="G37" s="379"/>
      <c r="H37" s="379"/>
      <c r="I37" s="379"/>
    </row>
    <row r="38" spans="2:9" ht="12.75">
      <c r="B38" s="379"/>
      <c r="C38" s="379"/>
      <c r="D38" s="379"/>
      <c r="E38" s="379"/>
      <c r="F38" s="379"/>
      <c r="G38" s="379"/>
      <c r="H38" s="379"/>
      <c r="I38" s="379"/>
    </row>
    <row r="42" ht="12.75">
      <c r="A42" s="404"/>
    </row>
    <row r="65" spans="3:4" ht="12.75">
      <c r="C65" s="405"/>
      <c r="D65" s="405"/>
    </row>
    <row r="71" spans="3:4" ht="12.75">
      <c r="C71" s="406"/>
      <c r="D71" s="406"/>
    </row>
  </sheetData>
  <autoFilter ref="A15:K37"/>
  <mergeCells count="4">
    <mergeCell ref="A10:K10"/>
    <mergeCell ref="A13:K13"/>
    <mergeCell ref="A11:K11"/>
    <mergeCell ref="A12:K12"/>
  </mergeCells>
  <printOptions horizontalCentered="1"/>
  <pageMargins left="0.7874015748031497" right="0" top="0.1968503937007874" bottom="0.1968503937007874" header="0" footer="0"/>
  <pageSetup blackAndWhite="1" horizontalDpi="120" verticalDpi="120" orientation="portrait" paperSize="9" scale="95" r:id="rId1"/>
  <ignoredErrors>
    <ignoredError sqref="E2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4"/>
  <sheetViews>
    <sheetView tabSelected="1" zoomScale="80" zoomScaleNormal="80" workbookViewId="0" topLeftCell="A1">
      <selection activeCell="G22" sqref="G22"/>
    </sheetView>
  </sheetViews>
  <sheetFormatPr defaultColWidth="8.88671875" defaultRowHeight="15"/>
  <cols>
    <col min="1" max="1" width="7.21484375" style="23" customWidth="1"/>
    <col min="2" max="2" width="38.3359375" style="36" customWidth="1"/>
    <col min="3" max="3" width="15.6640625" style="36" customWidth="1"/>
    <col min="4" max="4" width="12.21484375" style="36" customWidth="1"/>
    <col min="5" max="5" width="11.6640625" style="36" customWidth="1"/>
    <col min="6" max="6" width="9.88671875" style="23" bestFit="1" customWidth="1"/>
    <col min="7" max="7" width="8.88671875" style="23" customWidth="1"/>
    <col min="8" max="10" width="6.21484375" style="23" customWidth="1"/>
    <col min="11" max="11" width="8.5546875" style="23" customWidth="1"/>
    <col min="12" max="12" width="8.88671875" style="23" customWidth="1"/>
    <col min="13" max="16384" width="8.88671875" style="36" customWidth="1"/>
  </cols>
  <sheetData>
    <row r="1" ht="15.75">
      <c r="D1" s="36" t="s">
        <v>38</v>
      </c>
    </row>
    <row r="2" ht="15.75">
      <c r="D2" s="36" t="s">
        <v>426</v>
      </c>
    </row>
    <row r="3" ht="11.25" customHeight="1"/>
    <row r="4" ht="15.75">
      <c r="D4" s="36" t="s">
        <v>418</v>
      </c>
    </row>
    <row r="6" ht="15.75">
      <c r="D6" s="36" t="s">
        <v>436</v>
      </c>
    </row>
    <row r="7" ht="38.25" customHeight="1"/>
    <row r="8" spans="1:5" ht="18" customHeight="1">
      <c r="A8" s="482" t="s">
        <v>300</v>
      </c>
      <c r="B8" s="482"/>
      <c r="C8" s="482"/>
      <c r="D8" s="482"/>
      <c r="E8" s="482"/>
    </row>
    <row r="9" spans="1:5" ht="18" customHeight="1">
      <c r="A9" s="482" t="s">
        <v>461</v>
      </c>
      <c r="B9" s="482"/>
      <c r="C9" s="482"/>
      <c r="D9" s="482"/>
      <c r="E9" s="482"/>
    </row>
    <row r="10" spans="1:5" ht="16.5" customHeight="1">
      <c r="A10" s="482" t="s">
        <v>379</v>
      </c>
      <c r="B10" s="482"/>
      <c r="C10" s="482"/>
      <c r="D10" s="482"/>
      <c r="E10" s="482"/>
    </row>
    <row r="11" ht="30.75" customHeight="1"/>
    <row r="12" spans="1:5" ht="30" customHeight="1">
      <c r="A12" s="308" t="s">
        <v>89</v>
      </c>
      <c r="B12" s="308" t="s">
        <v>1</v>
      </c>
      <c r="C12" s="308" t="s">
        <v>298</v>
      </c>
      <c r="D12" s="308" t="s">
        <v>11</v>
      </c>
      <c r="E12" s="308" t="s">
        <v>393</v>
      </c>
    </row>
    <row r="13" spans="1:5" ht="15" customHeight="1">
      <c r="A13" s="309">
        <v>1</v>
      </c>
      <c r="B13" s="312" t="s">
        <v>428</v>
      </c>
      <c r="C13" s="310">
        <f aca="true" t="shared" si="0" ref="C13:C20">D13+E13</f>
        <v>485.525</v>
      </c>
      <c r="D13" s="311">
        <v>482</v>
      </c>
      <c r="E13" s="311">
        <v>3.525</v>
      </c>
    </row>
    <row r="14" spans="1:5" ht="15" customHeight="1">
      <c r="A14" s="309">
        <v>2</v>
      </c>
      <c r="B14" s="312" t="s">
        <v>429</v>
      </c>
      <c r="C14" s="310">
        <f t="shared" si="0"/>
        <v>125.8</v>
      </c>
      <c r="D14" s="311">
        <v>125.8</v>
      </c>
      <c r="E14" s="311"/>
    </row>
    <row r="15" spans="1:5" ht="15" customHeight="1">
      <c r="A15" s="309">
        <v>3</v>
      </c>
      <c r="B15" s="312" t="s">
        <v>430</v>
      </c>
      <c r="C15" s="310">
        <f t="shared" si="0"/>
        <v>27.022000000000002</v>
      </c>
      <c r="D15" s="311">
        <v>26.1</v>
      </c>
      <c r="E15" s="311">
        <v>0.922</v>
      </c>
    </row>
    <row r="16" spans="1:5" ht="15" customHeight="1">
      <c r="A16" s="309">
        <v>4</v>
      </c>
      <c r="B16" s="183" t="s">
        <v>431</v>
      </c>
      <c r="C16" s="310">
        <f t="shared" si="0"/>
        <v>20.92</v>
      </c>
      <c r="D16" s="311">
        <v>20.92</v>
      </c>
      <c r="E16" s="311"/>
    </row>
    <row r="17" spans="1:5" ht="15" customHeight="1">
      <c r="A17" s="309">
        <v>5</v>
      </c>
      <c r="B17" s="36" t="s">
        <v>432</v>
      </c>
      <c r="C17" s="310">
        <f t="shared" si="0"/>
        <v>39.673</v>
      </c>
      <c r="D17" s="311">
        <v>38.1</v>
      </c>
      <c r="E17" s="311">
        <v>1.573</v>
      </c>
    </row>
    <row r="18" spans="1:5" ht="15" customHeight="1">
      <c r="A18" s="309">
        <v>6</v>
      </c>
      <c r="B18" s="312" t="s">
        <v>433</v>
      </c>
      <c r="C18" s="310">
        <f t="shared" si="0"/>
        <v>49.260999999999996</v>
      </c>
      <c r="D18" s="311">
        <v>46.9</v>
      </c>
      <c r="E18" s="311">
        <v>2.361</v>
      </c>
    </row>
    <row r="19" spans="1:5" ht="15" customHeight="1">
      <c r="A19" s="309">
        <v>7</v>
      </c>
      <c r="B19" s="312" t="s">
        <v>434</v>
      </c>
      <c r="C19" s="310">
        <f t="shared" si="0"/>
        <v>70.9</v>
      </c>
      <c r="D19" s="311">
        <v>70.9</v>
      </c>
      <c r="E19" s="311"/>
    </row>
    <row r="20" spans="1:5" ht="15" customHeight="1">
      <c r="A20" s="309">
        <v>8</v>
      </c>
      <c r="B20" s="312" t="s">
        <v>435</v>
      </c>
      <c r="C20" s="310">
        <f t="shared" si="0"/>
        <v>488.121</v>
      </c>
      <c r="D20" s="311">
        <v>485</v>
      </c>
      <c r="E20" s="311">
        <v>3.121</v>
      </c>
    </row>
    <row r="21" spans="1:7" ht="15" customHeight="1">
      <c r="A21" s="309">
        <v>9</v>
      </c>
      <c r="B21" s="183" t="s">
        <v>118</v>
      </c>
      <c r="C21" s="310">
        <f>D21+E21</f>
        <v>3264.4004999999997</v>
      </c>
      <c r="D21" s="315">
        <v>2393.196</v>
      </c>
      <c r="E21" s="431">
        <f>17424.09*0.05</f>
        <v>871.2045</v>
      </c>
      <c r="F21" s="306"/>
      <c r="G21" s="306"/>
    </row>
    <row r="22" spans="1:5" ht="15" customHeight="1">
      <c r="A22" s="309">
        <v>10</v>
      </c>
      <c r="B22" s="183" t="s">
        <v>295</v>
      </c>
      <c r="C22" s="310">
        <f>D22+E22</f>
        <v>24.858</v>
      </c>
      <c r="D22" s="315">
        <v>13.412</v>
      </c>
      <c r="E22" s="315">
        <f>228.92*0.05</f>
        <v>11.446</v>
      </c>
    </row>
    <row r="23" spans="1:11" ht="15" customHeight="1" thickBot="1">
      <c r="A23" s="334">
        <v>11</v>
      </c>
      <c r="B23" s="335" t="s">
        <v>296</v>
      </c>
      <c r="C23" s="336">
        <f>D23+E23</f>
        <v>37.794</v>
      </c>
      <c r="D23" s="337">
        <v>2.129</v>
      </c>
      <c r="E23" s="337">
        <f>713.3*0.05</f>
        <v>35.665</v>
      </c>
      <c r="K23" s="316"/>
    </row>
    <row r="24" spans="1:11" s="64" customFormat="1" ht="16.5" customHeight="1" thickTop="1">
      <c r="A24" s="332"/>
      <c r="B24" s="333" t="s">
        <v>0</v>
      </c>
      <c r="C24" s="331">
        <f>SUM(C13:C23)</f>
        <v>4634.2744999999995</v>
      </c>
      <c r="D24" s="331">
        <f>SUBTOTAL(9,D13:D23)</f>
        <v>3704.4569999999994</v>
      </c>
      <c r="E24" s="331">
        <f>SUM(E13:E23)</f>
        <v>929.8175</v>
      </c>
      <c r="F24" s="114"/>
      <c r="G24" s="114"/>
      <c r="H24" s="114"/>
      <c r="I24" s="114"/>
      <c r="J24" s="114"/>
      <c r="K24" s="114"/>
    </row>
    <row r="25" spans="1:11" ht="15" customHeight="1">
      <c r="A25" s="89"/>
      <c r="H25" s="248"/>
      <c r="I25" s="248"/>
      <c r="J25" s="248"/>
      <c r="K25" s="316"/>
    </row>
    <row r="26" spans="1:10" ht="15" customHeight="1">
      <c r="A26" s="89"/>
      <c r="H26" s="248"/>
      <c r="I26" s="248"/>
      <c r="J26" s="248"/>
    </row>
    <row r="27" ht="15" customHeight="1">
      <c r="A27" s="89"/>
    </row>
    <row r="28" ht="15" customHeight="1">
      <c r="A28" s="89"/>
    </row>
    <row r="29" spans="1:5" ht="15" customHeight="1">
      <c r="A29" s="89"/>
      <c r="B29" s="28"/>
      <c r="C29" s="317"/>
      <c r="E29" s="318"/>
    </row>
    <row r="30" spans="1:5" ht="15" customHeight="1">
      <c r="A30" s="89"/>
      <c r="B30" s="28"/>
      <c r="C30" s="144"/>
      <c r="E30" s="144"/>
    </row>
    <row r="31" spans="1:5" ht="15" customHeight="1">
      <c r="A31" s="89"/>
      <c r="B31" s="38" t="s">
        <v>464</v>
      </c>
      <c r="D31" s="144" t="s">
        <v>391</v>
      </c>
      <c r="E31" s="317"/>
    </row>
    <row r="32" spans="1:5" ht="15" customHeight="1">
      <c r="A32" s="89"/>
      <c r="B32" s="28"/>
      <c r="C32" s="317"/>
      <c r="E32" s="317"/>
    </row>
    <row r="33" spans="1:5" ht="15" customHeight="1">
      <c r="A33" s="89"/>
      <c r="B33" s="28"/>
      <c r="C33" s="317"/>
      <c r="E33" s="317"/>
    </row>
    <row r="34" spans="1:5" ht="15" customHeight="1">
      <c r="A34" s="89"/>
      <c r="B34" s="28"/>
      <c r="C34" s="317"/>
      <c r="E34" s="317"/>
    </row>
    <row r="35" spans="1:5" ht="15" customHeight="1">
      <c r="A35" s="89"/>
      <c r="B35" s="28"/>
      <c r="C35" s="317"/>
      <c r="E35" s="317"/>
    </row>
    <row r="36" spans="1:5" ht="15" customHeight="1">
      <c r="A36" s="89"/>
      <c r="B36" s="28"/>
      <c r="C36" s="317"/>
      <c r="E36" s="317"/>
    </row>
    <row r="37" spans="1:5" ht="15" customHeight="1">
      <c r="A37" s="89"/>
      <c r="B37" s="28"/>
      <c r="C37" s="317"/>
      <c r="E37" s="317"/>
    </row>
    <row r="38" spans="1:5" ht="15" customHeight="1">
      <c r="A38" s="89"/>
      <c r="B38" s="28"/>
      <c r="C38" s="317"/>
      <c r="E38" s="317"/>
    </row>
    <row r="39" spans="1:5" ht="15" customHeight="1">
      <c r="A39" s="89"/>
      <c r="B39" s="28"/>
      <c r="C39" s="317"/>
      <c r="E39" s="317"/>
    </row>
    <row r="40" spans="1:5" ht="18.75">
      <c r="A40" s="483" t="s">
        <v>437</v>
      </c>
      <c r="B40" s="484"/>
      <c r="C40" s="484"/>
      <c r="D40" s="484"/>
      <c r="E40" s="484"/>
    </row>
    <row r="43" spans="1:5" ht="18" customHeight="1">
      <c r="A43" s="482" t="s">
        <v>438</v>
      </c>
      <c r="B43" s="482"/>
      <c r="C43" s="482"/>
      <c r="D43" s="482"/>
      <c r="E43" s="482"/>
    </row>
    <row r="44" spans="1:5" ht="18" customHeight="1">
      <c r="A44" s="482" t="s">
        <v>439</v>
      </c>
      <c r="B44" s="482"/>
      <c r="C44" s="482"/>
      <c r="D44" s="482"/>
      <c r="E44" s="482"/>
    </row>
    <row r="45" spans="1:5" ht="16.5" customHeight="1">
      <c r="A45" s="420"/>
      <c r="B45" s="420"/>
      <c r="C45" s="420"/>
      <c r="D45" s="420"/>
      <c r="E45" s="420"/>
    </row>
    <row r="46" ht="15.75" customHeight="1"/>
    <row r="47" spans="1:5" ht="73.5" customHeight="1">
      <c r="A47" s="308" t="s">
        <v>89</v>
      </c>
      <c r="B47" s="308" t="s">
        <v>1</v>
      </c>
      <c r="C47" s="308" t="s">
        <v>441</v>
      </c>
      <c r="D47" s="308" t="s">
        <v>462</v>
      </c>
      <c r="E47" s="308" t="s">
        <v>442</v>
      </c>
    </row>
    <row r="48" spans="1:5" ht="15" customHeight="1">
      <c r="A48" s="309">
        <v>1</v>
      </c>
      <c r="B48" s="312" t="s">
        <v>428</v>
      </c>
      <c r="C48" s="423" t="s">
        <v>443</v>
      </c>
      <c r="D48" s="311">
        <v>70.5</v>
      </c>
      <c r="E48" s="311">
        <f>D48*0.05</f>
        <v>3.5250000000000004</v>
      </c>
    </row>
    <row r="49" spans="1:5" ht="15" customHeight="1" hidden="1">
      <c r="A49" s="309">
        <v>13</v>
      </c>
      <c r="B49" s="312" t="s">
        <v>429</v>
      </c>
      <c r="C49" s="423"/>
      <c r="D49" s="311"/>
      <c r="E49" s="311"/>
    </row>
    <row r="50" spans="1:5" ht="15" customHeight="1" thickBot="1">
      <c r="A50" s="334">
        <v>2</v>
      </c>
      <c r="B50" s="426" t="s">
        <v>430</v>
      </c>
      <c r="C50" s="424" t="s">
        <v>445</v>
      </c>
      <c r="D50" s="337">
        <v>18.44</v>
      </c>
      <c r="E50" s="337">
        <f>D50*0.05</f>
        <v>0.9220000000000002</v>
      </c>
    </row>
    <row r="51" spans="1:5" ht="15" customHeight="1" hidden="1" thickBot="1">
      <c r="A51" s="432">
        <v>18</v>
      </c>
      <c r="B51" s="433" t="s">
        <v>431</v>
      </c>
      <c r="C51" s="434"/>
      <c r="D51" s="435"/>
      <c r="E51" s="435"/>
    </row>
    <row r="52" spans="1:11" s="64" customFormat="1" ht="16.5" customHeight="1" thickTop="1">
      <c r="A52" s="332"/>
      <c r="B52" s="333" t="s">
        <v>0</v>
      </c>
      <c r="C52" s="425"/>
      <c r="D52" s="331">
        <f>SUBTOTAL(9,D48:D51)</f>
        <v>88.94</v>
      </c>
      <c r="E52" s="331">
        <f>SUM(E48:E51)</f>
        <v>4.447000000000001</v>
      </c>
      <c r="F52" s="114"/>
      <c r="G52" s="114"/>
      <c r="H52" s="114"/>
      <c r="I52" s="114"/>
      <c r="J52" s="114"/>
      <c r="K52" s="114"/>
    </row>
    <row r="53" spans="1:11" ht="15" customHeight="1">
      <c r="A53" s="89"/>
      <c r="H53" s="248"/>
      <c r="I53" s="248"/>
      <c r="J53" s="248"/>
      <c r="K53" s="316"/>
    </row>
    <row r="54" spans="1:10" ht="15" customHeight="1">
      <c r="A54" s="89"/>
      <c r="H54" s="248"/>
      <c r="I54" s="248"/>
      <c r="J54" s="248"/>
    </row>
    <row r="55" ht="15" customHeight="1">
      <c r="A55" s="89"/>
    </row>
    <row r="56" ht="15" customHeight="1">
      <c r="A56" s="89"/>
    </row>
    <row r="57" ht="15" customHeight="1">
      <c r="A57" s="89"/>
    </row>
    <row r="58" ht="15" customHeight="1">
      <c r="A58" s="89"/>
    </row>
    <row r="59" spans="1:4" ht="15" customHeight="1">
      <c r="A59" s="89"/>
      <c r="B59" s="38" t="s">
        <v>440</v>
      </c>
      <c r="D59" s="36" t="s">
        <v>412</v>
      </c>
    </row>
    <row r="60" spans="1:5" ht="15" customHeight="1">
      <c r="A60" s="89"/>
      <c r="B60" s="28"/>
      <c r="D60" s="317"/>
      <c r="E60" s="318"/>
    </row>
    <row r="61" spans="1:5" ht="15" customHeight="1">
      <c r="A61" s="89"/>
      <c r="B61" s="28"/>
      <c r="D61" s="144"/>
      <c r="E61" s="144"/>
    </row>
    <row r="62" spans="1:5" ht="15" customHeight="1">
      <c r="A62" s="89"/>
      <c r="B62" s="38" t="s">
        <v>463</v>
      </c>
      <c r="D62" s="144" t="s">
        <v>391</v>
      </c>
      <c r="E62" s="317"/>
    </row>
    <row r="63" spans="1:5" ht="15" customHeight="1">
      <c r="A63" s="89"/>
      <c r="B63" s="28"/>
      <c r="C63" s="317"/>
      <c r="E63" s="317"/>
    </row>
    <row r="64" spans="1:5" ht="15" customHeight="1">
      <c r="A64" s="89"/>
      <c r="B64" s="28"/>
      <c r="C64" s="317"/>
      <c r="E64" s="317"/>
    </row>
    <row r="65" spans="1:5" ht="15" customHeight="1">
      <c r="A65" s="89"/>
      <c r="B65" s="28"/>
      <c r="C65" s="317"/>
      <c r="E65" s="317"/>
    </row>
    <row r="66" spans="1:5" ht="15" customHeight="1">
      <c r="A66" s="89"/>
      <c r="B66" s="28"/>
      <c r="C66" s="317"/>
      <c r="E66" s="317"/>
    </row>
    <row r="67" spans="1:5" ht="15" customHeight="1">
      <c r="A67" s="89"/>
      <c r="B67" s="28"/>
      <c r="C67" s="317"/>
      <c r="E67" s="317"/>
    </row>
    <row r="68" spans="1:5" ht="15" customHeight="1">
      <c r="A68" s="89"/>
      <c r="B68" s="28"/>
      <c r="C68" s="317"/>
      <c r="E68" s="317"/>
    </row>
    <row r="69" spans="1:5" ht="15" customHeight="1">
      <c r="A69" s="89"/>
      <c r="B69" s="28"/>
      <c r="C69" s="317"/>
      <c r="E69" s="317"/>
    </row>
    <row r="70" spans="1:5" ht="15" customHeight="1">
      <c r="A70" s="89"/>
      <c r="B70" s="28"/>
      <c r="C70" s="317"/>
      <c r="E70" s="317"/>
    </row>
    <row r="71" spans="1:5" ht="15" customHeight="1">
      <c r="A71" s="89"/>
      <c r="B71" s="28"/>
      <c r="C71" s="317"/>
      <c r="E71" s="317"/>
    </row>
    <row r="72" spans="1:5" ht="15" customHeight="1">
      <c r="A72" s="89"/>
      <c r="B72" s="28"/>
      <c r="C72" s="317"/>
      <c r="E72" s="317"/>
    </row>
    <row r="73" spans="1:5" ht="18.75">
      <c r="A73" s="483" t="s">
        <v>437</v>
      </c>
      <c r="B73" s="484"/>
      <c r="C73" s="484"/>
      <c r="D73" s="484"/>
      <c r="E73" s="484"/>
    </row>
    <row r="76" spans="1:5" ht="18" customHeight="1">
      <c r="A76" s="482" t="s">
        <v>438</v>
      </c>
      <c r="B76" s="482"/>
      <c r="C76" s="482"/>
      <c r="D76" s="482"/>
      <c r="E76" s="482"/>
    </row>
    <row r="77" spans="1:5" ht="18" customHeight="1">
      <c r="A77" s="482" t="s">
        <v>447</v>
      </c>
      <c r="B77" s="482"/>
      <c r="C77" s="482"/>
      <c r="D77" s="482"/>
      <c r="E77" s="482"/>
    </row>
    <row r="78" spans="1:5" ht="16.5" customHeight="1">
      <c r="A78" s="420"/>
      <c r="B78" s="420"/>
      <c r="C78" s="420"/>
      <c r="D78" s="420"/>
      <c r="E78" s="420"/>
    </row>
    <row r="79" ht="15.75" customHeight="1"/>
    <row r="80" spans="1:5" ht="72" customHeight="1">
      <c r="A80" s="308" t="s">
        <v>89</v>
      </c>
      <c r="B80" s="308" t="s">
        <v>1</v>
      </c>
      <c r="C80" s="308" t="s">
        <v>441</v>
      </c>
      <c r="D80" s="308" t="s">
        <v>462</v>
      </c>
      <c r="E80" s="308" t="s">
        <v>442</v>
      </c>
    </row>
    <row r="81" spans="1:5" ht="15" customHeight="1">
      <c r="A81" s="309">
        <v>1</v>
      </c>
      <c r="B81" s="36" t="s">
        <v>432</v>
      </c>
      <c r="C81" s="423" t="s">
        <v>444</v>
      </c>
      <c r="D81" s="311">
        <v>31.46</v>
      </c>
      <c r="E81" s="311">
        <f>D81*0.05</f>
        <v>1.5730000000000002</v>
      </c>
    </row>
    <row r="82" spans="1:5" ht="15" customHeight="1">
      <c r="A82" s="309">
        <v>2</v>
      </c>
      <c r="B82" s="312" t="s">
        <v>433</v>
      </c>
      <c r="C82" s="423" t="s">
        <v>446</v>
      </c>
      <c r="D82" s="311">
        <v>47.22</v>
      </c>
      <c r="E82" s="311">
        <f>D82*0.05</f>
        <v>2.361</v>
      </c>
    </row>
    <row r="83" spans="1:5" ht="15" customHeight="1" thickBot="1">
      <c r="A83" s="334">
        <v>3</v>
      </c>
      <c r="B83" s="426" t="s">
        <v>435</v>
      </c>
      <c r="C83" s="424" t="s">
        <v>448</v>
      </c>
      <c r="D83" s="337">
        <v>62.42</v>
      </c>
      <c r="E83" s="337">
        <f>D83*0.05</f>
        <v>3.1210000000000004</v>
      </c>
    </row>
    <row r="84" spans="1:11" s="64" customFormat="1" ht="16.5" customHeight="1" thickTop="1">
      <c r="A84" s="332"/>
      <c r="B84" s="333" t="s">
        <v>0</v>
      </c>
      <c r="C84" s="425"/>
      <c r="D84" s="331">
        <f>SUBTOTAL(9,D81:D83)</f>
        <v>141.10000000000002</v>
      </c>
      <c r="E84" s="331">
        <f>SUM(E81:E83)</f>
        <v>7.055000000000001</v>
      </c>
      <c r="F84" s="114"/>
      <c r="G84" s="114"/>
      <c r="H84" s="114"/>
      <c r="I84" s="114"/>
      <c r="J84" s="114"/>
      <c r="K84" s="114"/>
    </row>
    <row r="85" spans="1:11" ht="15" customHeight="1">
      <c r="A85" s="89"/>
      <c r="H85" s="248"/>
      <c r="I85" s="248"/>
      <c r="J85" s="248"/>
      <c r="K85" s="316"/>
    </row>
    <row r="86" spans="1:10" ht="15" customHeight="1">
      <c r="A86" s="89"/>
      <c r="H86" s="248"/>
      <c r="I86" s="248"/>
      <c r="J86" s="248"/>
    </row>
    <row r="87" ht="15" customHeight="1">
      <c r="A87" s="89"/>
    </row>
    <row r="88" ht="15" customHeight="1">
      <c r="A88" s="89"/>
    </row>
    <row r="89" ht="15" customHeight="1">
      <c r="A89" s="89"/>
    </row>
    <row r="90" ht="15" customHeight="1">
      <c r="A90" s="89"/>
    </row>
    <row r="91" spans="1:12" ht="15" customHeight="1">
      <c r="A91" s="37"/>
      <c r="B91" s="38" t="s">
        <v>440</v>
      </c>
      <c r="D91" s="36" t="s">
        <v>412</v>
      </c>
      <c r="F91" s="36"/>
      <c r="G91" s="36"/>
      <c r="H91" s="36"/>
      <c r="I91" s="36"/>
      <c r="J91" s="36"/>
      <c r="K91" s="36"/>
      <c r="L91" s="36"/>
    </row>
    <row r="92" spans="1:5" ht="15" customHeight="1">
      <c r="A92" s="89"/>
      <c r="B92" s="32"/>
      <c r="D92" s="317"/>
      <c r="E92" s="318"/>
    </row>
    <row r="93" spans="1:5" ht="15" customHeight="1">
      <c r="A93" s="89"/>
      <c r="B93" s="32"/>
      <c r="D93" s="144"/>
      <c r="E93" s="144"/>
    </row>
    <row r="94" spans="1:5" ht="15" customHeight="1">
      <c r="A94" s="89"/>
      <c r="B94" s="38" t="s">
        <v>463</v>
      </c>
      <c r="D94" s="144" t="s">
        <v>391</v>
      </c>
      <c r="E94" s="317"/>
    </row>
    <row r="95" spans="1:5" ht="15" customHeight="1">
      <c r="A95" s="89"/>
      <c r="B95" s="28"/>
      <c r="D95" s="317"/>
      <c r="E95" s="317"/>
    </row>
    <row r="96" spans="1:5" ht="15" customHeight="1">
      <c r="A96" s="89"/>
      <c r="B96" s="28"/>
      <c r="C96" s="317"/>
      <c r="E96" s="317"/>
    </row>
    <row r="97" spans="1:5" ht="15" customHeight="1">
      <c r="A97" s="89"/>
      <c r="B97" s="28"/>
      <c r="C97" s="317"/>
      <c r="E97" s="317"/>
    </row>
    <row r="98" spans="1:5" ht="15" customHeight="1">
      <c r="A98" s="89"/>
      <c r="B98" s="28"/>
      <c r="C98" s="317"/>
      <c r="E98" s="317"/>
    </row>
    <row r="99" spans="1:5" ht="15" customHeight="1">
      <c r="A99" s="89"/>
      <c r="B99" s="28"/>
      <c r="C99" s="317"/>
      <c r="E99" s="317"/>
    </row>
    <row r="100" spans="1:5" ht="15" customHeight="1">
      <c r="A100" s="89"/>
      <c r="B100" s="28"/>
      <c r="C100" s="317"/>
      <c r="E100" s="317"/>
    </row>
    <row r="101" spans="3:5" ht="15" customHeight="1">
      <c r="C101" s="37"/>
      <c r="D101" s="37"/>
      <c r="E101" s="37"/>
    </row>
    <row r="102" ht="15" customHeight="1">
      <c r="E102" s="355" t="s">
        <v>397</v>
      </c>
    </row>
    <row r="103" spans="3:6" ht="15" customHeight="1">
      <c r="C103" s="319">
        <v>1</v>
      </c>
      <c r="D103" s="37">
        <v>2</v>
      </c>
      <c r="E103" s="319">
        <v>3</v>
      </c>
      <c r="F103" s="319" t="s">
        <v>309</v>
      </c>
    </row>
    <row r="104" spans="2:8" ht="15" customHeight="1">
      <c r="B104" s="320" t="s">
        <v>303</v>
      </c>
      <c r="C104" s="351">
        <f>C105+C106+C107</f>
        <v>9722.780500178802</v>
      </c>
      <c r="D104" s="351">
        <f>D105+D106+D107</f>
        <v>10052.330381960128</v>
      </c>
      <c r="E104" s="351">
        <f>E105+E106+E107</f>
        <v>1948.4803178610687</v>
      </c>
      <c r="F104" s="322">
        <f>SUM(C104:E104)</f>
        <v>21723.591199999995</v>
      </c>
      <c r="G104" s="306">
        <f>SUM(F106:F107)</f>
        <v>21676.5642</v>
      </c>
      <c r="H104" s="347" t="s">
        <v>303</v>
      </c>
    </row>
    <row r="105" spans="2:8" ht="15" customHeight="1">
      <c r="B105" s="320" t="s">
        <v>310</v>
      </c>
      <c r="C105" s="354">
        <v>23.098</v>
      </c>
      <c r="D105" s="354">
        <v>22.009</v>
      </c>
      <c r="E105" s="354">
        <v>1.92</v>
      </c>
      <c r="F105" s="327">
        <f>SUM(C105:E105)</f>
        <v>47.027</v>
      </c>
      <c r="G105" s="306"/>
      <c r="H105" s="347" t="s">
        <v>310</v>
      </c>
    </row>
    <row r="106" spans="2:8" ht="15" customHeight="1">
      <c r="B106" s="38" t="s">
        <v>65</v>
      </c>
      <c r="C106" s="350">
        <f>$G$106/$F$107*C107</f>
        <v>1834.6403001788028</v>
      </c>
      <c r="D106" s="350">
        <f>$G$106/$F$107*D107</f>
        <v>1897.1787819601284</v>
      </c>
      <c r="E106" s="350">
        <f>$G$106/$F$107*E107</f>
        <v>368.1809178610686</v>
      </c>
      <c r="F106" s="324">
        <f>SUM(C106:E106)</f>
        <v>4100</v>
      </c>
      <c r="G106" s="282">
        <v>4100</v>
      </c>
      <c r="H106" s="347" t="s">
        <v>65</v>
      </c>
    </row>
    <row r="107" spans="2:8" ht="15" customHeight="1">
      <c r="B107" s="320" t="s">
        <v>307</v>
      </c>
      <c r="C107" s="348">
        <f>C108+C112</f>
        <v>7865.0422</v>
      </c>
      <c r="D107" s="348">
        <f>D108+D112</f>
        <v>8133.1426</v>
      </c>
      <c r="E107" s="348">
        <f>E108+E112</f>
        <v>1578.3794</v>
      </c>
      <c r="F107" s="325">
        <f>SUM(C107:E107)</f>
        <v>17576.5642</v>
      </c>
      <c r="G107" s="306">
        <f>F107+F105</f>
        <v>17623.5912</v>
      </c>
      <c r="H107" s="347" t="s">
        <v>307</v>
      </c>
    </row>
    <row r="108" spans="2:8" ht="15" customHeight="1">
      <c r="B108" s="38" t="s">
        <v>304</v>
      </c>
      <c r="C108" s="321">
        <f>C109+C110</f>
        <v>7725.4352</v>
      </c>
      <c r="D108" s="321">
        <f>D109+D110</f>
        <v>7988.9076000000005</v>
      </c>
      <c r="E108" s="321">
        <f>E109+E110</f>
        <v>1550.5764</v>
      </c>
      <c r="F108" s="326">
        <f>SUM(C108:E108)</f>
        <v>17264.9192</v>
      </c>
      <c r="H108" s="347" t="s">
        <v>304</v>
      </c>
    </row>
    <row r="109" spans="2:8" ht="15" customHeight="1">
      <c r="B109" s="320" t="s">
        <v>72</v>
      </c>
      <c r="C109" s="321">
        <v>3233.096</v>
      </c>
      <c r="D109" s="321">
        <v>1310.27</v>
      </c>
      <c r="E109" s="321">
        <v>1223.598</v>
      </c>
      <c r="F109" s="326">
        <f>SUM(C109:E109)</f>
        <v>5766.964</v>
      </c>
      <c r="H109" s="347" t="s">
        <v>72</v>
      </c>
    </row>
    <row r="110" spans="2:8" ht="15" customHeight="1">
      <c r="B110" s="38" t="s">
        <v>305</v>
      </c>
      <c r="C110" s="321">
        <f>1165.452+C111</f>
        <v>4492.3392</v>
      </c>
      <c r="D110" s="321">
        <f>1213.456+D111</f>
        <v>6678.6376</v>
      </c>
      <c r="E110" s="321">
        <f>E111</f>
        <v>326.97839999999997</v>
      </c>
      <c r="F110" s="326">
        <f>SUM(C110:E110)</f>
        <v>11497.9552</v>
      </c>
      <c r="H110" s="347" t="s">
        <v>305</v>
      </c>
    </row>
    <row r="111" spans="2:8" ht="15" customHeight="1">
      <c r="B111" s="320" t="s">
        <v>306</v>
      </c>
      <c r="C111" s="321">
        <v>3326.8872</v>
      </c>
      <c r="D111" s="321">
        <v>5465.1816</v>
      </c>
      <c r="E111" s="321">
        <v>326.97839999999997</v>
      </c>
      <c r="F111" s="326">
        <f>SUM(C111:E111)</f>
        <v>9119.0472</v>
      </c>
      <c r="H111" s="347" t="s">
        <v>306</v>
      </c>
    </row>
    <row r="112" spans="2:8" ht="15" customHeight="1">
      <c r="B112" s="320" t="s">
        <v>308</v>
      </c>
      <c r="C112" s="321">
        <v>139.607</v>
      </c>
      <c r="D112" s="321">
        <v>144.235</v>
      </c>
      <c r="E112" s="321">
        <v>27.803</v>
      </c>
      <c r="F112" s="326">
        <f>SUM(C112:E112)</f>
        <v>311.645</v>
      </c>
      <c r="H112" s="347" t="s">
        <v>308</v>
      </c>
    </row>
    <row r="113" spans="3:6" ht="15" customHeight="1">
      <c r="C113" s="352">
        <f>C107+C105</f>
        <v>7888.1402</v>
      </c>
      <c r="D113" s="353">
        <f>D107+D105</f>
        <v>8155.1516</v>
      </c>
      <c r="E113" s="352">
        <f>E107+E105</f>
        <v>1580.2994</v>
      </c>
      <c r="F113" s="329">
        <f>SUM(C113:E113)</f>
        <v>17623.5912</v>
      </c>
    </row>
    <row r="114" ht="15" customHeight="1"/>
    <row r="115" ht="15" customHeight="1"/>
    <row r="116" spans="1:5" ht="15" customHeight="1">
      <c r="A116" s="89"/>
      <c r="E116" s="356" t="s">
        <v>311</v>
      </c>
    </row>
    <row r="117" spans="3:6" ht="15" customHeight="1">
      <c r="C117" s="319">
        <v>1</v>
      </c>
      <c r="D117" s="37">
        <v>2</v>
      </c>
      <c r="E117" s="319">
        <v>3</v>
      </c>
      <c r="F117" s="319" t="s">
        <v>309</v>
      </c>
    </row>
    <row r="118" spans="2:8" ht="15" customHeight="1">
      <c r="B118" s="320" t="s">
        <v>303</v>
      </c>
      <c r="C118" s="351">
        <f>C120+C121+C119</f>
        <v>9726.143751157138</v>
      </c>
      <c r="D118" s="351">
        <f>D120+D121+D119</f>
        <v>10042.808732101517</v>
      </c>
      <c r="E118" s="351">
        <f>E120+E121+E119</f>
        <v>1949.6205167413439</v>
      </c>
      <c r="F118" s="322">
        <f>SUM(C118:E118)</f>
        <v>21718.572999999997</v>
      </c>
      <c r="H118" s="347" t="s">
        <v>303</v>
      </c>
    </row>
    <row r="119" spans="2:8" ht="15" customHeight="1">
      <c r="B119" s="320" t="s">
        <v>310</v>
      </c>
      <c r="C119" s="349">
        <v>23.098</v>
      </c>
      <c r="D119" s="349">
        <v>22.009</v>
      </c>
      <c r="E119" s="349">
        <v>1.92</v>
      </c>
      <c r="F119" s="323">
        <f>SUM(C119:E119)</f>
        <v>47.027</v>
      </c>
      <c r="H119" s="347" t="s">
        <v>310</v>
      </c>
    </row>
    <row r="120" spans="2:8" ht="15" customHeight="1">
      <c r="B120" s="38" t="s">
        <v>65</v>
      </c>
      <c r="C120" s="350">
        <f>$G$120/$F$121*C121</f>
        <v>1833.4627511571387</v>
      </c>
      <c r="D120" s="350">
        <f>$G$120/$F$121*D121</f>
        <v>1893.5047321015174</v>
      </c>
      <c r="E120" s="350">
        <f>$G$120/$F$121*E121</f>
        <v>368.03251674134384</v>
      </c>
      <c r="F120" s="324">
        <f>SUM(C120:E120)</f>
        <v>4095</v>
      </c>
      <c r="G120" s="23">
        <v>4095</v>
      </c>
      <c r="H120" s="347" t="s">
        <v>65</v>
      </c>
    </row>
    <row r="121" spans="2:8" ht="15" customHeight="1">
      <c r="B121" s="320" t="s">
        <v>307</v>
      </c>
      <c r="C121" s="348">
        <f>C122+C126</f>
        <v>7869.583</v>
      </c>
      <c r="D121" s="348">
        <f>D122+D126</f>
        <v>8127.294999999999</v>
      </c>
      <c r="E121" s="348">
        <f>E122+E126</f>
        <v>1579.668</v>
      </c>
      <c r="F121" s="325">
        <f>SUM(C121:E121)</f>
        <v>17576.546</v>
      </c>
      <c r="G121" s="306">
        <f>F121+F119</f>
        <v>17623.572999999997</v>
      </c>
      <c r="H121" s="347" t="s">
        <v>307</v>
      </c>
    </row>
    <row r="122" spans="2:8" ht="15" customHeight="1">
      <c r="B122" s="38" t="s">
        <v>304</v>
      </c>
      <c r="C122" s="321">
        <f>C123+C124</f>
        <v>7729.9</v>
      </c>
      <c r="D122" s="321">
        <f>D123+D124</f>
        <v>7983.114</v>
      </c>
      <c r="E122" s="321">
        <f>E123+E124</f>
        <v>1551.875</v>
      </c>
      <c r="F122" s="326">
        <f>SUM(C122:E122)</f>
        <v>17264.889</v>
      </c>
      <c r="H122" s="347" t="s">
        <v>304</v>
      </c>
    </row>
    <row r="123" spans="2:8" ht="15" customHeight="1">
      <c r="B123" s="320" t="s">
        <v>72</v>
      </c>
      <c r="C123" s="321">
        <v>3240.59</v>
      </c>
      <c r="D123" s="321">
        <v>1310.982</v>
      </c>
      <c r="E123" s="321">
        <v>1225.596</v>
      </c>
      <c r="F123" s="326">
        <f>SUM(C123:E123)</f>
        <v>5777.168</v>
      </c>
      <c r="H123" s="347" t="s">
        <v>72</v>
      </c>
    </row>
    <row r="124" spans="2:8" ht="15" customHeight="1">
      <c r="B124" s="38" t="s">
        <v>305</v>
      </c>
      <c r="C124" s="321">
        <f>1165.846+C125</f>
        <v>4489.3099999999995</v>
      </c>
      <c r="D124" s="321">
        <f>1213.245+D125</f>
        <v>6672.132</v>
      </c>
      <c r="E124" s="321">
        <f>E125</f>
        <v>326.279</v>
      </c>
      <c r="F124" s="326">
        <f>SUM(C124:E124)</f>
        <v>11487.721</v>
      </c>
      <c r="H124" s="347" t="s">
        <v>305</v>
      </c>
    </row>
    <row r="125" spans="2:8" ht="15" customHeight="1">
      <c r="B125" s="320" t="s">
        <v>306</v>
      </c>
      <c r="C125" s="321">
        <v>3323.464</v>
      </c>
      <c r="D125" s="321">
        <v>5458.887</v>
      </c>
      <c r="E125" s="321">
        <v>326.279</v>
      </c>
      <c r="F125" s="326">
        <f>SUM(C125:E125)</f>
        <v>9108.63</v>
      </c>
      <c r="H125" s="347" t="s">
        <v>306</v>
      </c>
    </row>
    <row r="126" spans="2:8" ht="15" customHeight="1">
      <c r="B126" s="320" t="s">
        <v>308</v>
      </c>
      <c r="C126" s="321">
        <v>139.683</v>
      </c>
      <c r="D126" s="321">
        <v>144.181</v>
      </c>
      <c r="E126" s="321">
        <v>27.793</v>
      </c>
      <c r="F126" s="326">
        <f>SUM(C126:E126)</f>
        <v>311.65700000000004</v>
      </c>
      <c r="H126" s="347" t="s">
        <v>308</v>
      </c>
    </row>
    <row r="127" spans="3:6" ht="15" customHeight="1">
      <c r="C127" s="328">
        <f>C121+C119</f>
        <v>7892.681</v>
      </c>
      <c r="D127" s="328">
        <f>D121+D119</f>
        <v>8149.303999999999</v>
      </c>
      <c r="E127" s="328">
        <f>E121+E119</f>
        <v>1581.588</v>
      </c>
      <c r="F127" s="346">
        <f>SUM(C127:E127)</f>
        <v>17623.573</v>
      </c>
    </row>
    <row r="131" spans="1:5" ht="18" customHeight="1">
      <c r="A131" s="482" t="s">
        <v>300</v>
      </c>
      <c r="B131" s="482"/>
      <c r="C131" s="482"/>
      <c r="D131" s="482"/>
      <c r="E131" s="482"/>
    </row>
    <row r="132" spans="1:5" ht="18" customHeight="1">
      <c r="A132" s="482" t="s">
        <v>299</v>
      </c>
      <c r="B132" s="482"/>
      <c r="C132" s="482"/>
      <c r="D132" s="482"/>
      <c r="E132" s="482"/>
    </row>
    <row r="133" spans="1:5" ht="16.5" customHeight="1">
      <c r="A133" s="482" t="s">
        <v>278</v>
      </c>
      <c r="B133" s="482"/>
      <c r="C133" s="482"/>
      <c r="D133" s="482"/>
      <c r="E133" s="482"/>
    </row>
    <row r="135" spans="1:5" ht="30" customHeight="1">
      <c r="A135" s="308" t="s">
        <v>89</v>
      </c>
      <c r="B135" s="308" t="s">
        <v>1</v>
      </c>
      <c r="C135" s="308" t="s">
        <v>298</v>
      </c>
      <c r="D135" s="308" t="s">
        <v>11</v>
      </c>
      <c r="E135" s="308" t="s">
        <v>393</v>
      </c>
    </row>
    <row r="136" spans="1:5" ht="15" customHeight="1">
      <c r="A136" s="309">
        <v>1</v>
      </c>
      <c r="B136" s="183" t="s">
        <v>164</v>
      </c>
      <c r="C136" s="310">
        <f>D136+E136</f>
        <v>475.12</v>
      </c>
      <c r="D136" s="311">
        <v>468.324</v>
      </c>
      <c r="E136" s="311">
        <v>6.796</v>
      </c>
    </row>
    <row r="137" spans="1:5" ht="15" customHeight="1">
      <c r="A137" s="309">
        <v>2</v>
      </c>
      <c r="B137" s="183" t="s">
        <v>91</v>
      </c>
      <c r="C137" s="310">
        <f aca="true" t="shared" si="1" ref="C137:C208">D137+E137</f>
        <v>430.735</v>
      </c>
      <c r="D137" s="311">
        <v>429.242</v>
      </c>
      <c r="E137" s="311">
        <v>1.493</v>
      </c>
    </row>
    <row r="138" spans="1:5" ht="15" customHeight="1">
      <c r="A138" s="309">
        <v>3</v>
      </c>
      <c r="B138" s="183" t="s">
        <v>14</v>
      </c>
      <c r="C138" s="310">
        <f t="shared" si="1"/>
        <v>88.77300000000001</v>
      </c>
      <c r="D138" s="311">
        <v>88.141</v>
      </c>
      <c r="E138" s="311">
        <v>0.632</v>
      </c>
    </row>
    <row r="139" spans="1:5" ht="15" customHeight="1">
      <c r="A139" s="309">
        <v>4</v>
      </c>
      <c r="B139" s="183" t="s">
        <v>105</v>
      </c>
      <c r="C139" s="310">
        <f t="shared" si="1"/>
        <v>54.894</v>
      </c>
      <c r="D139" s="311">
        <v>54.664</v>
      </c>
      <c r="E139" s="311">
        <v>0.23</v>
      </c>
    </row>
    <row r="140" spans="1:5" ht="15" customHeight="1">
      <c r="A140" s="309">
        <v>5</v>
      </c>
      <c r="B140" s="183" t="s">
        <v>15</v>
      </c>
      <c r="C140" s="310">
        <f t="shared" si="1"/>
        <v>82.712</v>
      </c>
      <c r="D140" s="311">
        <v>81.156</v>
      </c>
      <c r="E140" s="311">
        <v>1.556</v>
      </c>
    </row>
    <row r="141" spans="1:5" ht="15" customHeight="1">
      <c r="A141" s="309">
        <v>6</v>
      </c>
      <c r="B141" s="183" t="s">
        <v>106</v>
      </c>
      <c r="C141" s="310">
        <f t="shared" si="1"/>
        <v>331.32099999999997</v>
      </c>
      <c r="D141" s="311">
        <v>314.294</v>
      </c>
      <c r="E141" s="311">
        <v>17.027</v>
      </c>
    </row>
    <row r="142" spans="1:5" ht="15" customHeight="1">
      <c r="A142" s="309">
        <v>7</v>
      </c>
      <c r="B142" s="183" t="s">
        <v>16</v>
      </c>
      <c r="C142" s="310">
        <f t="shared" si="1"/>
        <v>30.264</v>
      </c>
      <c r="D142" s="311">
        <v>29.747</v>
      </c>
      <c r="E142" s="311">
        <v>0.517</v>
      </c>
    </row>
    <row r="143" spans="1:5" ht="15" customHeight="1">
      <c r="A143" s="309">
        <v>8</v>
      </c>
      <c r="B143" s="183" t="s">
        <v>2</v>
      </c>
      <c r="C143" s="310">
        <f t="shared" si="1"/>
        <v>523.384</v>
      </c>
      <c r="D143" s="311">
        <f>231.587+283.048</f>
        <v>514.635</v>
      </c>
      <c r="E143" s="311">
        <v>8.749</v>
      </c>
    </row>
    <row r="144" spans="1:5" ht="15" customHeight="1">
      <c r="A144" s="309">
        <v>9</v>
      </c>
      <c r="B144" s="312" t="s">
        <v>3</v>
      </c>
      <c r="C144" s="310">
        <f t="shared" si="1"/>
        <v>140.98499999999999</v>
      </c>
      <c r="D144" s="311">
        <v>139.851</v>
      </c>
      <c r="E144" s="311">
        <v>1.134</v>
      </c>
    </row>
    <row r="145" spans="1:5" ht="15" customHeight="1">
      <c r="A145" s="309">
        <v>10</v>
      </c>
      <c r="B145" s="313" t="s">
        <v>17</v>
      </c>
      <c r="C145" s="310">
        <f t="shared" si="1"/>
        <v>34.867</v>
      </c>
      <c r="D145" s="311">
        <v>34.522</v>
      </c>
      <c r="E145" s="311">
        <v>0.345</v>
      </c>
    </row>
    <row r="146" spans="1:5" ht="15" customHeight="1">
      <c r="A146" s="309">
        <v>11</v>
      </c>
      <c r="B146" s="183" t="s">
        <v>18</v>
      </c>
      <c r="C146" s="310">
        <f t="shared" si="1"/>
        <v>217.056</v>
      </c>
      <c r="D146" s="311">
        <v>216.375</v>
      </c>
      <c r="E146" s="311">
        <v>0.681</v>
      </c>
    </row>
    <row r="147" spans="1:5" ht="15" customHeight="1">
      <c r="A147" s="309">
        <v>12</v>
      </c>
      <c r="B147" s="312" t="s">
        <v>19</v>
      </c>
      <c r="C147" s="310">
        <f t="shared" si="1"/>
        <v>351.809</v>
      </c>
      <c r="D147" s="311">
        <v>331.028</v>
      </c>
      <c r="E147" s="311">
        <v>20.781</v>
      </c>
    </row>
    <row r="148" spans="1:5" ht="15" customHeight="1">
      <c r="A148" s="309">
        <v>13</v>
      </c>
      <c r="B148" s="312" t="s">
        <v>107</v>
      </c>
      <c r="C148" s="310">
        <f t="shared" si="1"/>
        <v>296.763</v>
      </c>
      <c r="D148" s="311">
        <v>296.763</v>
      </c>
      <c r="E148" s="311"/>
    </row>
    <row r="149" spans="1:5" ht="15" customHeight="1">
      <c r="A149" s="309">
        <v>14</v>
      </c>
      <c r="B149" s="312" t="s">
        <v>20</v>
      </c>
      <c r="C149" s="310">
        <f t="shared" si="1"/>
        <v>1143.999</v>
      </c>
      <c r="D149" s="311">
        <v>1134.275</v>
      </c>
      <c r="E149" s="311">
        <v>9.724</v>
      </c>
    </row>
    <row r="150" spans="1:5" ht="15" customHeight="1">
      <c r="A150" s="309">
        <v>15</v>
      </c>
      <c r="B150" s="312" t="s">
        <v>21</v>
      </c>
      <c r="C150" s="310">
        <f t="shared" si="1"/>
        <v>38.621</v>
      </c>
      <c r="D150" s="311">
        <v>38.506</v>
      </c>
      <c r="E150" s="311">
        <v>0.115</v>
      </c>
    </row>
    <row r="151" spans="1:5" ht="15" customHeight="1">
      <c r="A151" s="309">
        <v>16</v>
      </c>
      <c r="B151" s="312" t="s">
        <v>22</v>
      </c>
      <c r="C151" s="310">
        <f t="shared" si="1"/>
        <v>96.766</v>
      </c>
      <c r="D151" s="311">
        <v>96.691</v>
      </c>
      <c r="E151" s="311">
        <v>0.075</v>
      </c>
    </row>
    <row r="152" spans="1:5" ht="15" customHeight="1">
      <c r="A152" s="309">
        <v>17</v>
      </c>
      <c r="B152" s="312" t="s">
        <v>23</v>
      </c>
      <c r="C152" s="310">
        <f t="shared" si="1"/>
        <v>53.647</v>
      </c>
      <c r="D152" s="311">
        <v>52.62</v>
      </c>
      <c r="E152" s="311">
        <v>1.027</v>
      </c>
    </row>
    <row r="153" spans="1:5" ht="15" customHeight="1">
      <c r="A153" s="309">
        <v>18</v>
      </c>
      <c r="B153" s="312" t="s">
        <v>108</v>
      </c>
      <c r="C153" s="310">
        <f t="shared" si="1"/>
        <v>1220.672</v>
      </c>
      <c r="D153" s="311">
        <v>1111.48</v>
      </c>
      <c r="E153" s="311">
        <v>109.192</v>
      </c>
    </row>
    <row r="154" spans="1:5" ht="15" customHeight="1">
      <c r="A154" s="309">
        <v>19</v>
      </c>
      <c r="B154" s="312" t="s">
        <v>109</v>
      </c>
      <c r="C154" s="310">
        <f t="shared" si="1"/>
        <v>206.317</v>
      </c>
      <c r="D154" s="311">
        <v>204.234</v>
      </c>
      <c r="E154" s="311">
        <v>2.083</v>
      </c>
    </row>
    <row r="155" spans="1:5" ht="15" customHeight="1">
      <c r="A155" s="309">
        <v>20</v>
      </c>
      <c r="B155" s="312" t="s">
        <v>24</v>
      </c>
      <c r="C155" s="310">
        <f t="shared" si="1"/>
        <v>20.563000000000002</v>
      </c>
      <c r="D155" s="311">
        <v>20.449</v>
      </c>
      <c r="E155" s="311">
        <v>0.114</v>
      </c>
    </row>
    <row r="156" spans="1:5" ht="15" customHeight="1">
      <c r="A156" s="309">
        <v>21</v>
      </c>
      <c r="B156" s="312" t="s">
        <v>32</v>
      </c>
      <c r="C156" s="310">
        <f t="shared" si="1"/>
        <v>13.87</v>
      </c>
      <c r="D156" s="311">
        <v>13.87</v>
      </c>
      <c r="E156" s="311"/>
    </row>
    <row r="157" spans="1:5" ht="15" customHeight="1">
      <c r="A157" s="309">
        <v>22</v>
      </c>
      <c r="B157" s="312" t="s">
        <v>110</v>
      </c>
      <c r="C157" s="310">
        <f t="shared" si="1"/>
        <v>45.924</v>
      </c>
      <c r="D157" s="311">
        <v>45.924</v>
      </c>
      <c r="E157" s="311"/>
    </row>
    <row r="158" spans="1:5" ht="15" customHeight="1">
      <c r="A158" s="309">
        <v>23</v>
      </c>
      <c r="B158" s="312" t="s">
        <v>27</v>
      </c>
      <c r="C158" s="310">
        <f t="shared" si="1"/>
        <v>92.09100000000001</v>
      </c>
      <c r="D158" s="311">
        <v>90.787</v>
      </c>
      <c r="E158" s="311">
        <v>1.304</v>
      </c>
    </row>
    <row r="159" spans="1:5" ht="15" customHeight="1">
      <c r="A159" s="309">
        <v>24</v>
      </c>
      <c r="B159" s="312" t="s">
        <v>28</v>
      </c>
      <c r="C159" s="310">
        <f t="shared" si="1"/>
        <v>12.256</v>
      </c>
      <c r="D159" s="311">
        <v>12.142</v>
      </c>
      <c r="E159" s="311">
        <v>0.114</v>
      </c>
    </row>
    <row r="160" spans="1:5" ht="15" customHeight="1">
      <c r="A160" s="309">
        <v>25</v>
      </c>
      <c r="B160" s="312" t="s">
        <v>29</v>
      </c>
      <c r="C160" s="310">
        <f t="shared" si="1"/>
        <v>4.924</v>
      </c>
      <c r="D160" s="311">
        <v>4.924</v>
      </c>
      <c r="E160" s="311"/>
    </row>
    <row r="161" spans="1:5" ht="15" customHeight="1">
      <c r="A161" s="309">
        <v>26</v>
      </c>
      <c r="B161" s="312" t="s">
        <v>279</v>
      </c>
      <c r="C161" s="310">
        <f t="shared" si="1"/>
        <v>184.04</v>
      </c>
      <c r="D161" s="311">
        <v>176.808</v>
      </c>
      <c r="E161" s="311">
        <v>7.232</v>
      </c>
    </row>
    <row r="162" spans="1:5" ht="15" customHeight="1">
      <c r="A162" s="309">
        <v>27</v>
      </c>
      <c r="B162" s="312" t="s">
        <v>111</v>
      </c>
      <c r="C162" s="310">
        <f t="shared" si="1"/>
        <v>54.534</v>
      </c>
      <c r="D162" s="311">
        <v>53.671</v>
      </c>
      <c r="E162" s="311">
        <v>0.863</v>
      </c>
    </row>
    <row r="163" spans="1:5" ht="15" customHeight="1">
      <c r="A163" s="309">
        <v>28</v>
      </c>
      <c r="B163" s="312" t="s">
        <v>30</v>
      </c>
      <c r="C163" s="310">
        <f t="shared" si="1"/>
        <v>75.402</v>
      </c>
      <c r="D163" s="311">
        <v>73.556</v>
      </c>
      <c r="E163" s="311">
        <v>1.846</v>
      </c>
    </row>
    <row r="164" spans="1:5" ht="15" customHeight="1">
      <c r="A164" s="309">
        <v>29</v>
      </c>
      <c r="B164" s="312" t="s">
        <v>280</v>
      </c>
      <c r="C164" s="310">
        <f t="shared" si="1"/>
        <v>42.504999999999995</v>
      </c>
      <c r="D164" s="311">
        <v>42.275</v>
      </c>
      <c r="E164" s="311">
        <v>0.23</v>
      </c>
    </row>
    <row r="165" spans="1:5" ht="15" customHeight="1">
      <c r="A165" s="309">
        <v>30</v>
      </c>
      <c r="B165" s="312" t="s">
        <v>281</v>
      </c>
      <c r="C165" s="310">
        <f t="shared" si="1"/>
        <v>286.576</v>
      </c>
      <c r="D165" s="311">
        <v>284.93</v>
      </c>
      <c r="E165" s="311">
        <v>1.646</v>
      </c>
    </row>
    <row r="166" spans="1:5" ht="15" customHeight="1">
      <c r="A166" s="309">
        <v>31</v>
      </c>
      <c r="B166" s="312" t="s">
        <v>33</v>
      </c>
      <c r="C166" s="310">
        <f t="shared" si="1"/>
        <v>9.077</v>
      </c>
      <c r="D166" s="311">
        <v>9.077</v>
      </c>
      <c r="E166" s="311"/>
    </row>
    <row r="167" spans="1:5" ht="15" customHeight="1">
      <c r="A167" s="309">
        <v>32</v>
      </c>
      <c r="B167" s="312" t="s">
        <v>31</v>
      </c>
      <c r="C167" s="310">
        <f t="shared" si="1"/>
        <v>8.309</v>
      </c>
      <c r="D167" s="311">
        <v>8.309</v>
      </c>
      <c r="E167" s="311"/>
    </row>
    <row r="168" spans="1:5" ht="15" customHeight="1">
      <c r="A168" s="309">
        <v>33</v>
      </c>
      <c r="B168" s="312" t="s">
        <v>112</v>
      </c>
      <c r="C168" s="310">
        <f t="shared" si="1"/>
        <v>71.786</v>
      </c>
      <c r="D168" s="311">
        <v>71.786</v>
      </c>
      <c r="E168" s="311"/>
    </row>
    <row r="169" spans="1:5" ht="15" customHeight="1">
      <c r="A169" s="309">
        <v>34</v>
      </c>
      <c r="B169" s="312" t="s">
        <v>292</v>
      </c>
      <c r="C169" s="310">
        <f t="shared" si="1"/>
        <v>50.209</v>
      </c>
      <c r="D169" s="311">
        <v>50.209</v>
      </c>
      <c r="E169" s="311"/>
    </row>
    <row r="170" spans="1:5" ht="15" customHeight="1">
      <c r="A170" s="309">
        <v>35</v>
      </c>
      <c r="B170" s="312" t="s">
        <v>25</v>
      </c>
      <c r="C170" s="310">
        <f t="shared" si="1"/>
        <v>8.737</v>
      </c>
      <c r="D170" s="311">
        <v>8.68</v>
      </c>
      <c r="E170" s="311">
        <v>0.057</v>
      </c>
    </row>
    <row r="171" spans="1:5" ht="15" customHeight="1">
      <c r="A171" s="309">
        <v>36</v>
      </c>
      <c r="B171" s="312" t="s">
        <v>26</v>
      </c>
      <c r="C171" s="310">
        <f t="shared" si="1"/>
        <v>57.831</v>
      </c>
      <c r="D171" s="311">
        <v>57.216</v>
      </c>
      <c r="E171" s="311">
        <v>0.615</v>
      </c>
    </row>
    <row r="172" spans="1:5" ht="15" customHeight="1">
      <c r="A172" s="309">
        <v>37</v>
      </c>
      <c r="B172" s="312" t="s">
        <v>369</v>
      </c>
      <c r="C172" s="310">
        <f t="shared" si="1"/>
        <v>13.472</v>
      </c>
      <c r="D172" s="311">
        <v>13.472</v>
      </c>
      <c r="E172" s="311"/>
    </row>
    <row r="173" spans="1:5" ht="15" customHeight="1">
      <c r="A173" s="309">
        <v>38</v>
      </c>
      <c r="B173" s="312" t="s">
        <v>297</v>
      </c>
      <c r="C173" s="310">
        <f t="shared" si="1"/>
        <v>54.406</v>
      </c>
      <c r="D173" s="311">
        <v>53.952</v>
      </c>
      <c r="E173" s="311">
        <v>0.454</v>
      </c>
    </row>
    <row r="174" spans="1:5" ht="15" customHeight="1">
      <c r="A174" s="309">
        <v>39</v>
      </c>
      <c r="B174" s="312" t="s">
        <v>113</v>
      </c>
      <c r="C174" s="310">
        <f t="shared" si="1"/>
        <v>38.757999999999996</v>
      </c>
      <c r="D174" s="311">
        <v>38.471</v>
      </c>
      <c r="E174" s="311">
        <v>0.287</v>
      </c>
    </row>
    <row r="175" spans="1:5" ht="15" customHeight="1">
      <c r="A175" s="309">
        <v>40</v>
      </c>
      <c r="B175" s="312" t="s">
        <v>371</v>
      </c>
      <c r="C175" s="310">
        <f t="shared" si="1"/>
        <v>35.514</v>
      </c>
      <c r="D175" s="311">
        <v>35.514</v>
      </c>
      <c r="E175" s="311"/>
    </row>
    <row r="176" spans="1:5" ht="15" customHeight="1">
      <c r="A176" s="309">
        <v>41</v>
      </c>
      <c r="B176" s="312" t="s">
        <v>372</v>
      </c>
      <c r="C176" s="310">
        <f t="shared" si="1"/>
        <v>81.881</v>
      </c>
      <c r="D176" s="311">
        <v>81.881</v>
      </c>
      <c r="E176" s="311"/>
    </row>
    <row r="177" spans="1:5" ht="15" customHeight="1">
      <c r="A177" s="309">
        <v>42</v>
      </c>
      <c r="B177" s="312" t="s">
        <v>373</v>
      </c>
      <c r="C177" s="310">
        <f t="shared" si="1"/>
        <v>595.71</v>
      </c>
      <c r="D177" s="311">
        <v>595.71</v>
      </c>
      <c r="E177" s="311"/>
    </row>
    <row r="178" spans="1:5" ht="15" customHeight="1">
      <c r="A178" s="309">
        <v>43</v>
      </c>
      <c r="B178" s="312" t="s">
        <v>380</v>
      </c>
      <c r="C178" s="310">
        <f t="shared" si="1"/>
        <v>61.87</v>
      </c>
      <c r="D178" s="311">
        <v>61.87</v>
      </c>
      <c r="E178" s="311"/>
    </row>
    <row r="179" spans="1:5" ht="15" customHeight="1">
      <c r="A179" s="309">
        <v>44</v>
      </c>
      <c r="B179" s="183" t="s">
        <v>381</v>
      </c>
      <c r="C179" s="310">
        <f t="shared" si="1"/>
        <v>11.113</v>
      </c>
      <c r="D179" s="311">
        <v>11.113</v>
      </c>
      <c r="E179" s="311"/>
    </row>
    <row r="180" spans="1:5" ht="15" customHeight="1">
      <c r="A180" s="309">
        <v>45</v>
      </c>
      <c r="B180" s="312" t="s">
        <v>374</v>
      </c>
      <c r="C180" s="310">
        <f t="shared" si="1"/>
        <v>39.32</v>
      </c>
      <c r="D180" s="311">
        <v>38.984</v>
      </c>
      <c r="E180" s="311">
        <v>0.336</v>
      </c>
    </row>
    <row r="181" spans="1:5" ht="15" customHeight="1">
      <c r="A181" s="309">
        <v>46</v>
      </c>
      <c r="B181" s="312" t="s">
        <v>375</v>
      </c>
      <c r="C181" s="310">
        <f t="shared" si="1"/>
        <v>28.752</v>
      </c>
      <c r="D181" s="311">
        <v>28.752</v>
      </c>
      <c r="E181" s="311"/>
    </row>
    <row r="182" spans="1:5" ht="15" customHeight="1">
      <c r="A182" s="309">
        <v>47</v>
      </c>
      <c r="B182" s="312" t="s">
        <v>114</v>
      </c>
      <c r="C182" s="310">
        <f t="shared" si="1"/>
        <v>298.718</v>
      </c>
      <c r="D182" s="311">
        <v>297.694</v>
      </c>
      <c r="E182" s="311">
        <v>1.024</v>
      </c>
    </row>
    <row r="183" spans="1:5" ht="15" customHeight="1">
      <c r="A183" s="309">
        <v>48</v>
      </c>
      <c r="B183" s="312" t="s">
        <v>237</v>
      </c>
      <c r="C183" s="310">
        <f t="shared" si="1"/>
        <v>39.088</v>
      </c>
      <c r="D183" s="311">
        <v>31.11</v>
      </c>
      <c r="E183" s="311">
        <v>7.978</v>
      </c>
    </row>
    <row r="184" spans="1:5" ht="15" customHeight="1">
      <c r="A184" s="309">
        <v>49</v>
      </c>
      <c r="B184" s="312" t="s">
        <v>282</v>
      </c>
      <c r="C184" s="310">
        <f t="shared" si="1"/>
        <v>52.018</v>
      </c>
      <c r="D184" s="311">
        <v>51.171</v>
      </c>
      <c r="E184" s="311">
        <v>0.847</v>
      </c>
    </row>
    <row r="185" spans="1:5" ht="15" customHeight="1">
      <c r="A185" s="309">
        <v>50</v>
      </c>
      <c r="B185" s="312" t="s">
        <v>370</v>
      </c>
      <c r="C185" s="310">
        <f t="shared" si="1"/>
        <v>17.081</v>
      </c>
      <c r="D185" s="311">
        <v>17.081</v>
      </c>
      <c r="E185" s="311"/>
    </row>
    <row r="186" spans="1:5" ht="15" customHeight="1">
      <c r="A186" s="309">
        <v>51</v>
      </c>
      <c r="B186" s="312" t="s">
        <v>290</v>
      </c>
      <c r="C186" s="310">
        <f t="shared" si="1"/>
        <v>7.207</v>
      </c>
      <c r="D186" s="311">
        <v>7.207</v>
      </c>
      <c r="E186" s="311"/>
    </row>
    <row r="187" spans="1:5" ht="15" customHeight="1">
      <c r="A187" s="309">
        <v>52</v>
      </c>
      <c r="B187" s="313" t="s">
        <v>104</v>
      </c>
      <c r="C187" s="310">
        <f t="shared" si="1"/>
        <v>19.583</v>
      </c>
      <c r="D187" s="311">
        <v>19.583</v>
      </c>
      <c r="E187" s="311"/>
    </row>
    <row r="188" spans="1:5" ht="15" customHeight="1">
      <c r="A188" s="309">
        <v>53</v>
      </c>
      <c r="B188" s="183" t="s">
        <v>73</v>
      </c>
      <c r="C188" s="310">
        <f t="shared" si="1"/>
        <v>33.284</v>
      </c>
      <c r="D188" s="311">
        <v>33.284</v>
      </c>
      <c r="E188" s="311"/>
    </row>
    <row r="189" spans="1:5" ht="15" customHeight="1">
      <c r="A189" s="309">
        <v>54</v>
      </c>
      <c r="B189" s="183" t="s">
        <v>293</v>
      </c>
      <c r="C189" s="310">
        <f t="shared" si="1"/>
        <v>8.617</v>
      </c>
      <c r="D189" s="311">
        <v>8.617</v>
      </c>
      <c r="E189" s="311"/>
    </row>
    <row r="190" spans="1:5" ht="15" customHeight="1">
      <c r="A190" s="309">
        <v>55</v>
      </c>
      <c r="B190" s="312" t="s">
        <v>103</v>
      </c>
      <c r="C190" s="310">
        <f t="shared" si="1"/>
        <v>37.657</v>
      </c>
      <c r="D190" s="311">
        <v>37.657</v>
      </c>
      <c r="E190" s="311"/>
    </row>
    <row r="191" spans="1:5" ht="15" customHeight="1">
      <c r="A191" s="309">
        <v>56</v>
      </c>
      <c r="B191" s="183" t="s">
        <v>283</v>
      </c>
      <c r="C191" s="310">
        <f t="shared" si="1"/>
        <v>9.107</v>
      </c>
      <c r="D191" s="311">
        <v>8.083</v>
      </c>
      <c r="E191" s="311">
        <v>1.024</v>
      </c>
    </row>
    <row r="192" spans="1:5" ht="15" customHeight="1">
      <c r="A192" s="309">
        <v>57</v>
      </c>
      <c r="B192" s="314" t="s">
        <v>102</v>
      </c>
      <c r="C192" s="310">
        <f t="shared" si="1"/>
        <v>39.752</v>
      </c>
      <c r="D192" s="311">
        <v>39.752</v>
      </c>
      <c r="E192" s="311"/>
    </row>
    <row r="193" spans="1:5" ht="15" customHeight="1">
      <c r="A193" s="309">
        <v>58</v>
      </c>
      <c r="B193" s="183" t="s">
        <v>284</v>
      </c>
      <c r="C193" s="310">
        <f t="shared" si="1"/>
        <v>5.919</v>
      </c>
      <c r="D193" s="311">
        <v>5.919</v>
      </c>
      <c r="E193" s="311"/>
    </row>
    <row r="194" spans="1:5" ht="15" customHeight="1">
      <c r="A194" s="309">
        <v>59</v>
      </c>
      <c r="B194" s="183" t="s">
        <v>285</v>
      </c>
      <c r="C194" s="310">
        <f t="shared" si="1"/>
        <v>16.786</v>
      </c>
      <c r="D194" s="311">
        <v>16.786</v>
      </c>
      <c r="E194" s="311"/>
    </row>
    <row r="195" spans="1:5" ht="15" customHeight="1">
      <c r="A195" s="309">
        <v>60</v>
      </c>
      <c r="B195" s="312" t="s">
        <v>286</v>
      </c>
      <c r="C195" s="310">
        <f t="shared" si="1"/>
        <v>10.105</v>
      </c>
      <c r="D195" s="311">
        <v>9.807</v>
      </c>
      <c r="E195" s="311">
        <v>0.298</v>
      </c>
    </row>
    <row r="196" spans="1:5" ht="15" customHeight="1">
      <c r="A196" s="309">
        <v>61</v>
      </c>
      <c r="B196" s="312" t="s">
        <v>101</v>
      </c>
      <c r="C196" s="310">
        <f t="shared" si="1"/>
        <v>11.514</v>
      </c>
      <c r="D196" s="311">
        <v>11.514</v>
      </c>
      <c r="E196" s="311"/>
    </row>
    <row r="197" spans="1:5" ht="15" customHeight="1">
      <c r="A197" s="309">
        <v>62</v>
      </c>
      <c r="B197" s="312" t="s">
        <v>4</v>
      </c>
      <c r="C197" s="310">
        <f t="shared" si="1"/>
        <v>10.33</v>
      </c>
      <c r="D197" s="311">
        <v>10.33</v>
      </c>
      <c r="E197" s="311"/>
    </row>
    <row r="198" spans="1:5" ht="15" customHeight="1">
      <c r="A198" s="309">
        <v>63</v>
      </c>
      <c r="B198" s="183" t="s">
        <v>238</v>
      </c>
      <c r="C198" s="310">
        <f t="shared" si="1"/>
        <v>24.521</v>
      </c>
      <c r="D198" s="311">
        <v>24.521</v>
      </c>
      <c r="E198" s="311"/>
    </row>
    <row r="199" spans="1:5" ht="15" customHeight="1">
      <c r="A199" s="309">
        <v>64</v>
      </c>
      <c r="B199" s="183" t="s">
        <v>287</v>
      </c>
      <c r="C199" s="310">
        <f t="shared" si="1"/>
        <v>13.783000000000001</v>
      </c>
      <c r="D199" s="311">
        <v>13.726</v>
      </c>
      <c r="E199" s="311">
        <v>0.057</v>
      </c>
    </row>
    <row r="200" spans="1:5" ht="15" customHeight="1">
      <c r="A200" s="309">
        <v>65</v>
      </c>
      <c r="B200" s="183" t="s">
        <v>288</v>
      </c>
      <c r="C200" s="310">
        <f t="shared" si="1"/>
        <v>48.698</v>
      </c>
      <c r="D200" s="311">
        <v>48.698</v>
      </c>
      <c r="E200" s="311"/>
    </row>
    <row r="201" spans="1:5" ht="15" customHeight="1">
      <c r="A201" s="309">
        <v>66</v>
      </c>
      <c r="B201" s="183" t="s">
        <v>294</v>
      </c>
      <c r="C201" s="310">
        <f t="shared" si="1"/>
        <v>10.698</v>
      </c>
      <c r="D201" s="311">
        <v>10.698</v>
      </c>
      <c r="E201" s="311"/>
    </row>
    <row r="202" spans="1:5" ht="15" customHeight="1">
      <c r="A202" s="309">
        <v>67</v>
      </c>
      <c r="B202" s="183" t="s">
        <v>289</v>
      </c>
      <c r="C202" s="310">
        <f t="shared" si="1"/>
        <v>20.842</v>
      </c>
      <c r="D202" s="311">
        <v>18.192</v>
      </c>
      <c r="E202" s="311">
        <v>2.65</v>
      </c>
    </row>
    <row r="203" spans="1:5" ht="15" customHeight="1">
      <c r="A203" s="309">
        <v>68</v>
      </c>
      <c r="B203" s="183" t="s">
        <v>240</v>
      </c>
      <c r="C203" s="310">
        <f t="shared" si="1"/>
        <v>4.971</v>
      </c>
      <c r="D203" s="311">
        <v>4.971</v>
      </c>
      <c r="E203" s="311"/>
    </row>
    <row r="204" spans="1:5" ht="15" customHeight="1">
      <c r="A204" s="309">
        <v>69</v>
      </c>
      <c r="B204" s="183" t="s">
        <v>74</v>
      </c>
      <c r="C204" s="310">
        <f t="shared" si="1"/>
        <v>455.256</v>
      </c>
      <c r="D204" s="311">
        <v>434.089</v>
      </c>
      <c r="E204" s="311">
        <v>21.167</v>
      </c>
    </row>
    <row r="205" spans="1:5" ht="15" customHeight="1">
      <c r="A205" s="309">
        <v>70</v>
      </c>
      <c r="B205" s="183" t="s">
        <v>291</v>
      </c>
      <c r="C205" s="310">
        <f t="shared" si="1"/>
        <v>53.661</v>
      </c>
      <c r="D205" s="311">
        <v>52.011</v>
      </c>
      <c r="E205" s="311">
        <v>1.65</v>
      </c>
    </row>
    <row r="206" spans="1:5" ht="15" customHeight="1">
      <c r="A206" s="309">
        <v>71</v>
      </c>
      <c r="B206" s="183" t="s">
        <v>75</v>
      </c>
      <c r="C206" s="310">
        <f t="shared" si="1"/>
        <v>670.814</v>
      </c>
      <c r="D206" s="311">
        <v>666.814</v>
      </c>
      <c r="E206" s="311">
        <v>4</v>
      </c>
    </row>
    <row r="207" spans="1:5" ht="15" customHeight="1">
      <c r="A207" s="309">
        <v>72</v>
      </c>
      <c r="B207" s="183" t="s">
        <v>239</v>
      </c>
      <c r="C207" s="310">
        <f t="shared" si="1"/>
        <v>289.92999999999995</v>
      </c>
      <c r="D207" s="315">
        <v>288.828</v>
      </c>
      <c r="E207" s="315">
        <v>1.102</v>
      </c>
    </row>
    <row r="208" spans="1:5" ht="15" customHeight="1">
      <c r="A208" s="309">
        <v>73</v>
      </c>
      <c r="B208" s="183" t="s">
        <v>376</v>
      </c>
      <c r="C208" s="310">
        <f t="shared" si="1"/>
        <v>20.949</v>
      </c>
      <c r="D208" s="315">
        <v>20.949</v>
      </c>
      <c r="E208" s="315"/>
    </row>
    <row r="209" spans="1:5" ht="15" customHeight="1">
      <c r="A209" s="309">
        <v>74</v>
      </c>
      <c r="B209" s="183" t="s">
        <v>377</v>
      </c>
      <c r="C209" s="310">
        <f>D209+E209</f>
        <v>20.592</v>
      </c>
      <c r="D209" s="315">
        <v>20.229</v>
      </c>
      <c r="E209" s="315">
        <v>0.363</v>
      </c>
    </row>
    <row r="210" spans="1:5" ht="15" customHeight="1">
      <c r="A210" s="309">
        <v>75</v>
      </c>
      <c r="B210" s="330" t="s">
        <v>378</v>
      </c>
      <c r="C210" s="310">
        <f>D210+E210</f>
        <v>16.73</v>
      </c>
      <c r="D210" s="315">
        <v>16.73</v>
      </c>
      <c r="E210" s="315"/>
    </row>
    <row r="211" spans="1:7" ht="15" customHeight="1">
      <c r="A211" s="309">
        <v>76</v>
      </c>
      <c r="B211" s="183" t="s">
        <v>118</v>
      </c>
      <c r="C211" s="310">
        <f aca="true" t="shared" si="2" ref="C211:C220">D211+E211</f>
        <v>3323.4643690000003</v>
      </c>
      <c r="D211" s="315">
        <v>3210.155</v>
      </c>
      <c r="E211" s="315">
        <f>F214*32.3%</f>
        <v>113.309369</v>
      </c>
      <c r="F211" s="306">
        <f>SUM(D211:D214)</f>
        <v>8883.069000000001</v>
      </c>
      <c r="G211" s="306">
        <f>SUM(D211:D215)</f>
        <v>8943.430000000002</v>
      </c>
    </row>
    <row r="212" spans="1:7" ht="15" customHeight="1">
      <c r="A212" s="309">
        <v>77</v>
      </c>
      <c r="B212" s="183" t="s">
        <v>118</v>
      </c>
      <c r="C212" s="310">
        <f t="shared" si="2"/>
        <v>5458.886982</v>
      </c>
      <c r="D212" s="315">
        <v>5250.51</v>
      </c>
      <c r="E212" s="315">
        <f>F214*59.4%</f>
        <v>208.37698200000003</v>
      </c>
      <c r="F212" s="316">
        <f>7200*0.05</f>
        <v>360</v>
      </c>
      <c r="G212" s="23" t="s">
        <v>382</v>
      </c>
    </row>
    <row r="213" spans="1:6" ht="15" customHeight="1">
      <c r="A213" s="309">
        <v>78</v>
      </c>
      <c r="B213" s="183" t="s">
        <v>118</v>
      </c>
      <c r="C213" s="310">
        <f t="shared" si="2"/>
        <v>326.278998</v>
      </c>
      <c r="D213" s="315">
        <v>303.126</v>
      </c>
      <c r="E213" s="315">
        <f>F214*6.6%</f>
        <v>23.152998000000004</v>
      </c>
      <c r="F213" s="306">
        <f>SUM(C211:C215)</f>
        <v>9294.233000000002</v>
      </c>
    </row>
    <row r="214" spans="1:6" ht="15" customHeight="1">
      <c r="A214" s="309">
        <v>79</v>
      </c>
      <c r="B214" s="183" t="s">
        <v>118</v>
      </c>
      <c r="C214" s="310">
        <f t="shared" si="2"/>
        <v>125.241651</v>
      </c>
      <c r="D214" s="315">
        <v>119.278</v>
      </c>
      <c r="E214" s="315">
        <f>F214*1.7%</f>
        <v>5.963651000000001</v>
      </c>
      <c r="F214" s="306">
        <f>7016.06*0.05</f>
        <v>350.80300000000005</v>
      </c>
    </row>
    <row r="215" spans="1:6" ht="15" customHeight="1">
      <c r="A215" s="309">
        <v>80</v>
      </c>
      <c r="B215" s="183" t="s">
        <v>118</v>
      </c>
      <c r="C215" s="310">
        <f t="shared" si="2"/>
        <v>60.361</v>
      </c>
      <c r="D215" s="315">
        <v>60.361</v>
      </c>
      <c r="E215" s="315"/>
      <c r="F215" s="306"/>
    </row>
    <row r="216" spans="1:5" ht="15" customHeight="1">
      <c r="A216" s="309">
        <v>81</v>
      </c>
      <c r="B216" s="183" t="s">
        <v>295</v>
      </c>
      <c r="C216" s="310">
        <f t="shared" si="2"/>
        <v>23.098</v>
      </c>
      <c r="D216" s="315">
        <v>23.098</v>
      </c>
      <c r="E216" s="315"/>
    </row>
    <row r="217" spans="1:5" ht="15" customHeight="1">
      <c r="A217" s="309">
        <v>82</v>
      </c>
      <c r="B217" s="183" t="s">
        <v>295</v>
      </c>
      <c r="C217" s="310">
        <f t="shared" si="2"/>
        <v>22.009</v>
      </c>
      <c r="D217" s="311">
        <v>22.009</v>
      </c>
      <c r="E217" s="315"/>
    </row>
    <row r="218" spans="1:5" ht="15" customHeight="1">
      <c r="A218" s="309">
        <v>83</v>
      </c>
      <c r="B218" s="183" t="s">
        <v>295</v>
      </c>
      <c r="C218" s="310">
        <f t="shared" si="2"/>
        <v>1.92</v>
      </c>
      <c r="D218" s="315">
        <v>1.92</v>
      </c>
      <c r="E218" s="315"/>
    </row>
    <row r="219" spans="1:6" ht="15" customHeight="1">
      <c r="A219" s="309">
        <v>84</v>
      </c>
      <c r="B219" s="183" t="s">
        <v>295</v>
      </c>
      <c r="C219" s="310">
        <f t="shared" si="2"/>
        <v>5.513</v>
      </c>
      <c r="D219" s="315">
        <v>5.513</v>
      </c>
      <c r="E219" s="315"/>
      <c r="F219" s="23" t="s">
        <v>386</v>
      </c>
    </row>
    <row r="220" spans="1:11" ht="15" customHeight="1">
      <c r="A220" s="309">
        <v>85</v>
      </c>
      <c r="B220" s="183" t="s">
        <v>295</v>
      </c>
      <c r="C220" s="310">
        <f t="shared" si="2"/>
        <v>7.229</v>
      </c>
      <c r="D220" s="315">
        <v>7.229</v>
      </c>
      <c r="E220" s="315"/>
      <c r="F220" s="23" t="s">
        <v>385</v>
      </c>
      <c r="G220" s="23" t="s">
        <v>387</v>
      </c>
      <c r="H220" s="23" t="s">
        <v>388</v>
      </c>
      <c r="I220" s="23" t="s">
        <v>389</v>
      </c>
      <c r="J220" s="23" t="s">
        <v>390</v>
      </c>
      <c r="K220" s="116" t="s">
        <v>301</v>
      </c>
    </row>
    <row r="221" spans="1:11" ht="15" customHeight="1">
      <c r="A221" s="341">
        <v>86</v>
      </c>
      <c r="B221" s="342" t="s">
        <v>296</v>
      </c>
      <c r="C221" s="343">
        <f>D221+E221</f>
        <v>139.68300000000002</v>
      </c>
      <c r="D221" s="344">
        <v>4.258</v>
      </c>
      <c r="E221" s="345">
        <v>135.425</v>
      </c>
      <c r="F221" s="23">
        <v>7700</v>
      </c>
      <c r="G221" s="23">
        <v>2409</v>
      </c>
      <c r="H221" s="23">
        <v>741</v>
      </c>
      <c r="I221" s="23">
        <v>506</v>
      </c>
      <c r="J221" s="23">
        <f>211+26+299</f>
        <v>536</v>
      </c>
      <c r="K221" s="316">
        <f>K226/G121*C127</f>
        <v>152.10080710114804</v>
      </c>
    </row>
    <row r="222" spans="1:11" ht="15" customHeight="1">
      <c r="A222" s="309">
        <v>87</v>
      </c>
      <c r="B222" s="183" t="s">
        <v>296</v>
      </c>
      <c r="C222" s="310">
        <f>D222+E222</f>
        <v>144.181</v>
      </c>
      <c r="D222" s="311">
        <v>4.258</v>
      </c>
      <c r="E222" s="311">
        <v>139.923</v>
      </c>
      <c r="F222" s="23">
        <v>17000</v>
      </c>
      <c r="G222" s="23">
        <v>4426</v>
      </c>
      <c r="H222" s="23">
        <v>775</v>
      </c>
      <c r="I222" s="23">
        <v>346</v>
      </c>
      <c r="J222" s="23">
        <f>421+27+299</f>
        <v>747</v>
      </c>
      <c r="K222" s="316">
        <f>K226/G121*D127</f>
        <v>157.04621987289414</v>
      </c>
    </row>
    <row r="223" spans="1:11" ht="15" customHeight="1">
      <c r="A223" s="338">
        <v>88</v>
      </c>
      <c r="B223" s="339" t="s">
        <v>296</v>
      </c>
      <c r="C223" s="340">
        <f>D223+E223</f>
        <v>27.793000000000003</v>
      </c>
      <c r="D223" s="315">
        <v>0.655</v>
      </c>
      <c r="E223" s="315">
        <v>27.138</v>
      </c>
      <c r="F223" s="23">
        <v>5200</v>
      </c>
      <c r="G223" s="23">
        <v>493</v>
      </c>
      <c r="H223" s="23">
        <v>2184</v>
      </c>
      <c r="J223" s="23">
        <f>13+75</f>
        <v>88</v>
      </c>
      <c r="K223" s="316">
        <f>K226/G121*E127</f>
        <v>30.478973025957913</v>
      </c>
    </row>
    <row r="224" spans="1:11" ht="15" customHeight="1">
      <c r="A224" s="309">
        <v>89</v>
      </c>
      <c r="B224" s="183" t="s">
        <v>296</v>
      </c>
      <c r="C224" s="310">
        <f>D224+E224</f>
        <v>22.407</v>
      </c>
      <c r="D224" s="315">
        <v>0.164</v>
      </c>
      <c r="E224" s="315">
        <v>22.243</v>
      </c>
      <c r="F224" s="23">
        <v>410</v>
      </c>
      <c r="G224" s="23">
        <v>127</v>
      </c>
      <c r="H224" s="23">
        <v>236</v>
      </c>
      <c r="J224" s="23">
        <f>13+75</f>
        <v>88</v>
      </c>
      <c r="K224" s="316" t="e">
        <f>K226/G121*#REF!</f>
        <v>#REF!</v>
      </c>
    </row>
    <row r="225" spans="1:11" ht="15" customHeight="1" thickBot="1">
      <c r="A225" s="334">
        <v>90</v>
      </c>
      <c r="B225" s="335" t="s">
        <v>296</v>
      </c>
      <c r="C225" s="336">
        <f>D225+E225</f>
        <v>15.267000000000001</v>
      </c>
      <c r="D225" s="337">
        <v>0.371</v>
      </c>
      <c r="E225" s="337">
        <v>14.896</v>
      </c>
      <c r="F225" s="23">
        <v>48.4</v>
      </c>
      <c r="K225" s="316" t="e">
        <f>K226/G121*#REF!</f>
        <v>#REF!</v>
      </c>
    </row>
    <row r="226" spans="1:11" s="64" customFormat="1" ht="16.5" customHeight="1" thickTop="1">
      <c r="A226" s="332"/>
      <c r="B226" s="333" t="s">
        <v>0</v>
      </c>
      <c r="C226" s="331">
        <f>SUBTOTAL(9,C136:C225)</f>
        <v>19789.679</v>
      </c>
      <c r="D226" s="331">
        <f>SUBTOTAL(9,D136:D225)</f>
        <v>18859.836000000003</v>
      </c>
      <c r="E226" s="331">
        <f>SUBTOTAL(9,E221:E225)</f>
        <v>339.625</v>
      </c>
      <c r="F226" s="114">
        <f>SUM(F221:F225)</f>
        <v>30358.4</v>
      </c>
      <c r="G226" s="114">
        <f>SUM(G221:G225)</f>
        <v>7455</v>
      </c>
      <c r="H226" s="114">
        <f>SUM(H221:H225)</f>
        <v>3936</v>
      </c>
      <c r="I226" s="114">
        <f>SUM(I221:I225)</f>
        <v>852</v>
      </c>
      <c r="J226" s="114">
        <f>SUM(J221:J225)</f>
        <v>1459</v>
      </c>
      <c r="K226" s="114">
        <f>6792.52*0.05</f>
        <v>339.62600000000003</v>
      </c>
    </row>
    <row r="227" ht="15.75">
      <c r="K227" s="316" t="e">
        <f>SUM(K221:K225)</f>
        <v>#REF!</v>
      </c>
    </row>
    <row r="231" spans="2:3" ht="15.75">
      <c r="B231" s="28" t="s">
        <v>242</v>
      </c>
      <c r="C231" s="317" t="s">
        <v>241</v>
      </c>
    </row>
    <row r="232" spans="2:3" ht="15.75">
      <c r="B232" s="28"/>
      <c r="C232" s="317"/>
    </row>
    <row r="233" spans="2:3" ht="15.75">
      <c r="B233" s="28"/>
      <c r="C233" s="144"/>
    </row>
    <row r="234" spans="2:3" ht="15.75">
      <c r="B234" s="28" t="s">
        <v>383</v>
      </c>
      <c r="C234" s="317" t="s">
        <v>391</v>
      </c>
    </row>
  </sheetData>
  <autoFilter ref="A12:E25"/>
  <mergeCells count="12">
    <mergeCell ref="A76:E76"/>
    <mergeCell ref="A132:E132"/>
    <mergeCell ref="A133:E133"/>
    <mergeCell ref="A40:E40"/>
    <mergeCell ref="A77:E77"/>
    <mergeCell ref="A43:E43"/>
    <mergeCell ref="A44:E44"/>
    <mergeCell ref="A131:E131"/>
    <mergeCell ref="A8:E8"/>
    <mergeCell ref="A9:E9"/>
    <mergeCell ref="A10:E10"/>
    <mergeCell ref="A73:E73"/>
  </mergeCells>
  <printOptions horizontalCentered="1"/>
  <pageMargins left="0.7874015748031497" right="0.1968503937007874" top="0.3937007874015748" bottom="0.3937007874015748" header="0" footer="0"/>
  <pageSetup blackAndWhite="1" horizontalDpi="300" verticalDpi="300" orientation="portrait" paperSize="9" scale="90" r:id="rId1"/>
  <ignoredErrors>
    <ignoredError sqref="C18:C20 C22 C211:C214 C215:C225 E211:E214 C136:C210 C13 C23 C14:C15 C24:E24 C21 C16:C17 D143 D84 E48:E52 D52 E81:E84 E21:E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D18" sqref="D18"/>
    </sheetView>
  </sheetViews>
  <sheetFormatPr defaultColWidth="8.88671875" defaultRowHeight="15"/>
  <cols>
    <col min="1" max="1" width="6.5546875" style="37" customWidth="1"/>
    <col min="2" max="2" width="29.4453125" style="36" customWidth="1"/>
    <col min="3" max="3" width="9.77734375" style="37" customWidth="1"/>
    <col min="4" max="5" width="4.99609375" style="36" customWidth="1"/>
    <col min="6" max="7" width="9.4453125" style="36" customWidth="1"/>
    <col min="8" max="8" width="9.5546875" style="36" customWidth="1"/>
    <col min="9" max="9" width="10.5546875" style="36" customWidth="1"/>
    <col min="10" max="10" width="11.99609375" style="36" customWidth="1"/>
    <col min="11" max="16384" width="8.88671875" style="36" customWidth="1"/>
  </cols>
  <sheetData>
    <row r="1" spans="1:10" ht="15.75">
      <c r="A1" s="460" t="s">
        <v>457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ht="15.75">
      <c r="A2" s="67"/>
      <c r="B2" s="62"/>
      <c r="C2" s="67"/>
      <c r="D2" s="62"/>
      <c r="E2" s="62"/>
      <c r="F2" s="62"/>
      <c r="G2" s="62"/>
      <c r="H2" s="62"/>
      <c r="I2" s="62"/>
      <c r="J2" s="62"/>
    </row>
    <row r="3" spans="1:10" s="60" customFormat="1" ht="12.75" customHeight="1">
      <c r="A3" s="454" t="s">
        <v>93</v>
      </c>
      <c r="B3" s="454" t="s">
        <v>192</v>
      </c>
      <c r="C3" s="454" t="s">
        <v>193</v>
      </c>
      <c r="D3" s="457" t="s">
        <v>149</v>
      </c>
      <c r="E3" s="459"/>
      <c r="F3" s="459"/>
      <c r="G3" s="458"/>
      <c r="H3" s="457" t="s">
        <v>398</v>
      </c>
      <c r="I3" s="458"/>
      <c r="J3" s="454" t="s">
        <v>399</v>
      </c>
    </row>
    <row r="4" spans="1:10" s="60" customFormat="1" ht="12.75" customHeight="1">
      <c r="A4" s="456"/>
      <c r="B4" s="456"/>
      <c r="C4" s="456"/>
      <c r="D4" s="457" t="s">
        <v>302</v>
      </c>
      <c r="E4" s="458"/>
      <c r="F4" s="457" t="s">
        <v>458</v>
      </c>
      <c r="G4" s="458"/>
      <c r="H4" s="454" t="s">
        <v>147</v>
      </c>
      <c r="I4" s="454" t="s">
        <v>173</v>
      </c>
      <c r="J4" s="456"/>
    </row>
    <row r="5" spans="1:10" s="60" customFormat="1" ht="12">
      <c r="A5" s="455"/>
      <c r="B5" s="455"/>
      <c r="C5" s="455"/>
      <c r="D5" s="68" t="s">
        <v>147</v>
      </c>
      <c r="E5" s="70" t="s">
        <v>148</v>
      </c>
      <c r="F5" s="68" t="s">
        <v>147</v>
      </c>
      <c r="G5" s="70" t="s">
        <v>148</v>
      </c>
      <c r="H5" s="455"/>
      <c r="I5" s="455"/>
      <c r="J5" s="455"/>
    </row>
    <row r="6" spans="1:10" s="76" customFormat="1" ht="11.25">
      <c r="A6" s="71">
        <v>1</v>
      </c>
      <c r="B6" s="71">
        <v>2</v>
      </c>
      <c r="C6" s="71">
        <v>3</v>
      </c>
      <c r="D6" s="72">
        <v>6</v>
      </c>
      <c r="E6" s="73">
        <v>7</v>
      </c>
      <c r="F6" s="72">
        <v>6</v>
      </c>
      <c r="G6" s="73">
        <v>7</v>
      </c>
      <c r="H6" s="74">
        <v>8</v>
      </c>
      <c r="I6" s="75">
        <v>9</v>
      </c>
      <c r="J6" s="71">
        <v>10</v>
      </c>
    </row>
    <row r="7" spans="1:10" s="60" customFormat="1" ht="12">
      <c r="A7" s="68">
        <v>1</v>
      </c>
      <c r="B7" s="77" t="s">
        <v>171</v>
      </c>
      <c r="C7" s="68" t="s">
        <v>172</v>
      </c>
      <c r="D7" s="68"/>
      <c r="E7" s="68"/>
      <c r="F7" s="68">
        <v>21.34</v>
      </c>
      <c r="G7" s="68">
        <v>22.02</v>
      </c>
      <c r="H7" s="68">
        <v>23.39</v>
      </c>
      <c r="I7" s="68">
        <v>23.88</v>
      </c>
      <c r="J7" s="68">
        <v>23.89</v>
      </c>
    </row>
    <row r="8" spans="1:10" s="60" customFormat="1" ht="12">
      <c r="A8" s="68">
        <v>2</v>
      </c>
      <c r="B8" s="77" t="s">
        <v>150</v>
      </c>
      <c r="C8" s="68" t="s">
        <v>172</v>
      </c>
      <c r="D8" s="68"/>
      <c r="E8" s="68"/>
      <c r="F8" s="68" t="s">
        <v>157</v>
      </c>
      <c r="G8" s="68" t="s">
        <v>157</v>
      </c>
      <c r="H8" s="68" t="s">
        <v>157</v>
      </c>
      <c r="I8" s="68" t="s">
        <v>157</v>
      </c>
      <c r="J8" s="68" t="s">
        <v>157</v>
      </c>
    </row>
    <row r="9" spans="1:10" s="60" customFormat="1" ht="12">
      <c r="A9" s="68">
        <v>3</v>
      </c>
      <c r="B9" s="77" t="s">
        <v>174</v>
      </c>
      <c r="C9" s="68" t="s">
        <v>172</v>
      </c>
      <c r="D9" s="68"/>
      <c r="E9" s="68"/>
      <c r="F9" s="68">
        <f>F7</f>
        <v>21.34</v>
      </c>
      <c r="G9" s="68">
        <f>G7</f>
        <v>22.02</v>
      </c>
      <c r="H9" s="68">
        <f>H7</f>
        <v>23.39</v>
      </c>
      <c r="I9" s="68">
        <f>I7</f>
        <v>23.88</v>
      </c>
      <c r="J9" s="82">
        <f>J7</f>
        <v>23.89</v>
      </c>
    </row>
    <row r="10" spans="1:10" s="60" customFormat="1" ht="12">
      <c r="A10" s="68">
        <v>4</v>
      </c>
      <c r="B10" s="77" t="s">
        <v>94</v>
      </c>
      <c r="C10" s="68" t="s">
        <v>172</v>
      </c>
      <c r="D10" s="68"/>
      <c r="E10" s="68"/>
      <c r="F10" s="68">
        <v>2.78</v>
      </c>
      <c r="G10" s="68">
        <v>2.78</v>
      </c>
      <c r="H10" s="68">
        <v>4.1</v>
      </c>
      <c r="I10" s="68">
        <v>4.1</v>
      </c>
      <c r="J10" s="79">
        <v>4.1</v>
      </c>
    </row>
    <row r="11" spans="1:10" s="60" customFormat="1" ht="12">
      <c r="A11" s="78" t="s">
        <v>152</v>
      </c>
      <c r="B11" s="77" t="s">
        <v>194</v>
      </c>
      <c r="C11" s="68" t="s">
        <v>66</v>
      </c>
      <c r="D11" s="82"/>
      <c r="E11" s="82"/>
      <c r="F11" s="82">
        <f>F10/F9*100</f>
        <v>13.027179006560448</v>
      </c>
      <c r="G11" s="82">
        <f>G10/G9*100</f>
        <v>12.62488646684832</v>
      </c>
      <c r="H11" s="82">
        <f>H10/H9*100</f>
        <v>17.5288584865327</v>
      </c>
      <c r="I11" s="82">
        <f>I10/I9*100</f>
        <v>17.169179229480736</v>
      </c>
      <c r="J11" s="82">
        <f>J10/J9*100</f>
        <v>17.16199246546672</v>
      </c>
    </row>
    <row r="12" spans="1:10" s="60" customFormat="1" ht="12">
      <c r="A12" s="68">
        <v>5</v>
      </c>
      <c r="B12" s="77" t="s">
        <v>175</v>
      </c>
      <c r="C12" s="68" t="s">
        <v>172</v>
      </c>
      <c r="D12" s="68"/>
      <c r="E12" s="68"/>
      <c r="F12" s="68">
        <v>18.56</v>
      </c>
      <c r="G12" s="68">
        <v>19.01</v>
      </c>
      <c r="H12" s="68">
        <v>19.29</v>
      </c>
      <c r="I12" s="68">
        <v>19.73</v>
      </c>
      <c r="J12" s="68">
        <v>19.73</v>
      </c>
    </row>
    <row r="13" spans="1:10" s="60" customFormat="1" ht="12">
      <c r="A13" s="78" t="s">
        <v>245</v>
      </c>
      <c r="B13" s="77" t="s">
        <v>151</v>
      </c>
      <c r="C13" s="68" t="s">
        <v>172</v>
      </c>
      <c r="D13" s="68"/>
      <c r="E13" s="68"/>
      <c r="F13" s="68">
        <v>6.62</v>
      </c>
      <c r="G13" s="68">
        <v>7.24</v>
      </c>
      <c r="H13" s="68">
        <v>6.91</v>
      </c>
      <c r="I13" s="68">
        <v>7.71</v>
      </c>
      <c r="J13" s="68">
        <v>7.7</v>
      </c>
    </row>
    <row r="14" spans="1:10" s="60" customFormat="1" ht="12">
      <c r="A14" s="68">
        <v>6</v>
      </c>
      <c r="B14" s="77" t="s">
        <v>96</v>
      </c>
      <c r="C14" s="68" t="s">
        <v>195</v>
      </c>
      <c r="D14" s="68"/>
      <c r="E14" s="68"/>
      <c r="F14" s="68">
        <v>245.6</v>
      </c>
      <c r="G14" s="68">
        <f>F14</f>
        <v>245.6</v>
      </c>
      <c r="H14" s="68">
        <v>247.2</v>
      </c>
      <c r="I14" s="68">
        <f>H14</f>
        <v>247.2</v>
      </c>
      <c r="J14" s="68">
        <v>247.2</v>
      </c>
    </row>
    <row r="15" spans="1:10" s="60" customFormat="1" ht="12">
      <c r="A15" s="68">
        <v>7</v>
      </c>
      <c r="B15" s="77" t="s">
        <v>185</v>
      </c>
      <c r="C15" s="68"/>
      <c r="D15" s="68"/>
      <c r="E15" s="68"/>
      <c r="F15" s="68"/>
      <c r="G15" s="68"/>
      <c r="H15" s="68"/>
      <c r="I15" s="68"/>
      <c r="J15" s="68"/>
    </row>
    <row r="16" spans="1:11" s="60" customFormat="1" ht="12">
      <c r="A16" s="68"/>
      <c r="B16" s="77" t="s">
        <v>153</v>
      </c>
      <c r="C16" s="68" t="s">
        <v>243</v>
      </c>
      <c r="D16" s="82"/>
      <c r="E16" s="82"/>
      <c r="F16" s="82">
        <v>670.46</v>
      </c>
      <c r="G16" s="82">
        <v>549.85</v>
      </c>
      <c r="H16" s="82">
        <v>698.48</v>
      </c>
      <c r="I16" s="82">
        <v>636.96</v>
      </c>
      <c r="J16" s="82">
        <v>725.3</v>
      </c>
      <c r="K16" s="60" t="s">
        <v>405</v>
      </c>
    </row>
    <row r="17" spans="1:11" s="60" customFormat="1" ht="12">
      <c r="A17" s="68">
        <v>8</v>
      </c>
      <c r="B17" s="77" t="s">
        <v>186</v>
      </c>
      <c r="C17" s="68" t="s">
        <v>244</v>
      </c>
      <c r="D17" s="81"/>
      <c r="E17" s="80"/>
      <c r="F17" s="80">
        <f>F16/0.426</f>
        <v>1573.8497652582162</v>
      </c>
      <c r="G17" s="80">
        <f>G16/0.426</f>
        <v>1290.7276995305165</v>
      </c>
      <c r="H17" s="80">
        <f>H16/0.426</f>
        <v>1639.62441314554</v>
      </c>
      <c r="I17" s="80">
        <f>I16/0.426</f>
        <v>1495.211267605634</v>
      </c>
      <c r="J17" s="80">
        <f>J16/0.426</f>
        <v>1702.5821596244132</v>
      </c>
      <c r="K17" s="60" t="s">
        <v>405</v>
      </c>
    </row>
    <row r="18" spans="1:10" s="60" customFormat="1" ht="12">
      <c r="A18" s="68">
        <v>9</v>
      </c>
      <c r="B18" s="77" t="s">
        <v>154</v>
      </c>
      <c r="C18" s="68" t="s">
        <v>155</v>
      </c>
      <c r="D18" s="68"/>
      <c r="E18" s="68"/>
      <c r="F18" s="68">
        <v>1.11</v>
      </c>
      <c r="G18" s="68">
        <v>1.33</v>
      </c>
      <c r="H18" s="68">
        <v>1.21</v>
      </c>
      <c r="I18" s="68">
        <v>1.3</v>
      </c>
      <c r="J18" s="68">
        <v>1.68</v>
      </c>
    </row>
    <row r="19" spans="1:10" s="60" customFormat="1" ht="12">
      <c r="A19" s="68">
        <v>10</v>
      </c>
      <c r="B19" s="77" t="s">
        <v>246</v>
      </c>
      <c r="C19" s="68" t="s">
        <v>218</v>
      </c>
      <c r="D19" s="103"/>
      <c r="E19" s="103"/>
      <c r="F19" s="81">
        <v>4264.7</v>
      </c>
      <c r="G19" s="81">
        <v>10306.1</v>
      </c>
      <c r="H19" s="103">
        <v>4064</v>
      </c>
      <c r="I19" s="80">
        <v>8456.13</v>
      </c>
      <c r="J19" s="80">
        <v>8456.13</v>
      </c>
    </row>
    <row r="20" spans="1:11" s="60" customFormat="1" ht="12">
      <c r="A20" s="68">
        <v>11</v>
      </c>
      <c r="B20" s="77" t="s">
        <v>247</v>
      </c>
      <c r="C20" s="68" t="s">
        <v>248</v>
      </c>
      <c r="D20" s="81"/>
      <c r="E20" s="103"/>
      <c r="F20" s="80">
        <v>12301.91</v>
      </c>
      <c r="G20" s="103">
        <v>15120</v>
      </c>
      <c r="H20" s="80">
        <v>13570.19</v>
      </c>
      <c r="I20" s="103">
        <v>16500</v>
      </c>
      <c r="J20" s="80">
        <v>13862.93</v>
      </c>
      <c r="K20" s="60" t="s">
        <v>405</v>
      </c>
    </row>
    <row r="21" spans="1:11" s="60" customFormat="1" ht="12">
      <c r="A21" s="68">
        <v>12</v>
      </c>
      <c r="B21" s="77" t="s">
        <v>249</v>
      </c>
      <c r="C21" s="68" t="s">
        <v>248</v>
      </c>
      <c r="D21" s="103"/>
      <c r="E21" s="103"/>
      <c r="F21" s="103">
        <v>3240</v>
      </c>
      <c r="G21" s="103">
        <v>3779</v>
      </c>
      <c r="H21" s="103">
        <v>1990</v>
      </c>
      <c r="I21" s="103">
        <v>3500</v>
      </c>
      <c r="J21" s="103">
        <v>3500</v>
      </c>
      <c r="K21" s="60" t="s">
        <v>406</v>
      </c>
    </row>
    <row r="22" spans="1:2" ht="15.75">
      <c r="A22" s="83"/>
      <c r="B22" s="60"/>
    </row>
    <row r="23" spans="1:2" ht="15.75">
      <c r="A23" s="83"/>
      <c r="B23" s="60"/>
    </row>
    <row r="24" spans="1:2" ht="15.75">
      <c r="A24" s="83"/>
      <c r="B24" s="60"/>
    </row>
    <row r="25" spans="1:2" ht="15.75">
      <c r="A25" s="83"/>
      <c r="B25" s="60"/>
    </row>
    <row r="26" spans="1:2" ht="15.75">
      <c r="A26" s="83"/>
      <c r="B26" s="60"/>
    </row>
    <row r="27" spans="1:9" ht="15.75">
      <c r="A27" s="83"/>
      <c r="B27" s="60"/>
      <c r="C27" s="23" t="s">
        <v>68</v>
      </c>
      <c r="D27" s="26"/>
      <c r="E27" s="26"/>
      <c r="F27" s="62"/>
      <c r="G27" s="23" t="s">
        <v>391</v>
      </c>
      <c r="H27" s="23"/>
      <c r="I27" s="23"/>
    </row>
    <row r="28" spans="1:9" ht="15.75">
      <c r="A28" s="83"/>
      <c r="B28" s="60"/>
      <c r="D28" s="23"/>
      <c r="E28" s="23"/>
      <c r="F28" s="23"/>
      <c r="G28" s="23"/>
      <c r="H28" s="23"/>
      <c r="I28" s="23"/>
    </row>
    <row r="29" spans="1:9" ht="15.75">
      <c r="A29" s="83"/>
      <c r="B29" s="60"/>
      <c r="D29" s="23"/>
      <c r="E29" s="23"/>
      <c r="F29" s="23"/>
      <c r="G29" s="23"/>
      <c r="H29" s="23"/>
      <c r="I29" s="23"/>
    </row>
    <row r="30" spans="1:9" ht="15.75">
      <c r="A30" s="83"/>
      <c r="B30" s="60"/>
      <c r="D30" s="23"/>
      <c r="E30" s="23"/>
      <c r="F30" s="23"/>
      <c r="G30" s="23"/>
      <c r="H30" s="23"/>
      <c r="I30" s="23"/>
    </row>
    <row r="31" spans="1:9" ht="15.75">
      <c r="A31" s="83"/>
      <c r="B31" s="60"/>
      <c r="D31" s="23"/>
      <c r="E31" s="23"/>
      <c r="F31" s="23"/>
      <c r="G31" s="23"/>
      <c r="H31" s="23"/>
      <c r="I31" s="23"/>
    </row>
    <row r="32" spans="1:9" ht="15.75">
      <c r="A32" s="83"/>
      <c r="B32" s="60"/>
      <c r="D32" s="23"/>
      <c r="E32" s="23"/>
      <c r="F32" s="23"/>
      <c r="G32" s="23"/>
      <c r="H32" s="23"/>
      <c r="I32" s="23"/>
    </row>
    <row r="33" spans="1:9" ht="15.75">
      <c r="A33" s="83"/>
      <c r="B33" s="60"/>
      <c r="D33" s="23"/>
      <c r="E33" s="23"/>
      <c r="F33" s="23"/>
      <c r="G33" s="23"/>
      <c r="H33" s="23"/>
      <c r="I33" s="23"/>
    </row>
    <row r="34" spans="1:9" ht="15.75">
      <c r="A34" s="83"/>
      <c r="B34" s="60"/>
      <c r="D34" s="23"/>
      <c r="E34" s="23"/>
      <c r="F34" s="23"/>
      <c r="G34" s="23"/>
      <c r="H34" s="23"/>
      <c r="I34" s="23"/>
    </row>
    <row r="36" spans="1:10" ht="15.75">
      <c r="A36" s="460" t="s">
        <v>459</v>
      </c>
      <c r="B36" s="461"/>
      <c r="C36" s="461"/>
      <c r="D36" s="461"/>
      <c r="E36" s="461"/>
      <c r="F36" s="461"/>
      <c r="G36" s="461"/>
      <c r="H36" s="461"/>
      <c r="I36" s="461"/>
      <c r="J36" s="461"/>
    </row>
    <row r="37" spans="1:10" ht="15.75">
      <c r="A37" s="67"/>
      <c r="B37" s="62"/>
      <c r="C37" s="67"/>
      <c r="D37" s="62"/>
      <c r="E37" s="62"/>
      <c r="F37" s="62"/>
      <c r="G37" s="62"/>
      <c r="H37" s="62"/>
      <c r="I37" s="62"/>
      <c r="J37" s="62"/>
    </row>
    <row r="38" spans="1:10" s="60" customFormat="1" ht="12.75" customHeight="1">
      <c r="A38" s="454" t="s">
        <v>93</v>
      </c>
      <c r="B38" s="454" t="s">
        <v>192</v>
      </c>
      <c r="C38" s="454" t="s">
        <v>193</v>
      </c>
      <c r="D38" s="457" t="s">
        <v>149</v>
      </c>
      <c r="E38" s="459"/>
      <c r="F38" s="459"/>
      <c r="G38" s="458"/>
      <c r="H38" s="457" t="s">
        <v>398</v>
      </c>
      <c r="I38" s="458"/>
      <c r="J38" s="454" t="s">
        <v>399</v>
      </c>
    </row>
    <row r="39" spans="1:10" s="60" customFormat="1" ht="12.75" customHeight="1">
      <c r="A39" s="456"/>
      <c r="B39" s="456"/>
      <c r="C39" s="456"/>
      <c r="D39" s="457" t="s">
        <v>302</v>
      </c>
      <c r="E39" s="458"/>
      <c r="F39" s="457" t="s">
        <v>458</v>
      </c>
      <c r="G39" s="458"/>
      <c r="H39" s="454" t="s">
        <v>147</v>
      </c>
      <c r="I39" s="454" t="s">
        <v>173</v>
      </c>
      <c r="J39" s="456"/>
    </row>
    <row r="40" spans="1:10" s="60" customFormat="1" ht="12">
      <c r="A40" s="455"/>
      <c r="B40" s="455"/>
      <c r="C40" s="455"/>
      <c r="D40" s="68" t="s">
        <v>147</v>
      </c>
      <c r="E40" s="69" t="s">
        <v>148</v>
      </c>
      <c r="F40" s="68" t="s">
        <v>147</v>
      </c>
      <c r="G40" s="70" t="s">
        <v>148</v>
      </c>
      <c r="H40" s="455"/>
      <c r="I40" s="455"/>
      <c r="J40" s="455"/>
    </row>
    <row r="41" spans="1:10" s="60" customFormat="1" ht="12">
      <c r="A41" s="68">
        <v>1</v>
      </c>
      <c r="B41" s="77" t="s">
        <v>198</v>
      </c>
      <c r="C41" s="68" t="s">
        <v>165</v>
      </c>
      <c r="D41" s="68"/>
      <c r="E41" s="68"/>
      <c r="F41" s="82">
        <v>3.67</v>
      </c>
      <c r="G41" s="68">
        <v>3.79</v>
      </c>
      <c r="H41" s="82">
        <v>4.03</v>
      </c>
      <c r="I41" s="68">
        <v>4.11</v>
      </c>
      <c r="J41" s="68">
        <v>4.11</v>
      </c>
    </row>
    <row r="42" spans="1:10" s="60" customFormat="1" ht="12">
      <c r="A42" s="68">
        <v>2</v>
      </c>
      <c r="B42" s="77" t="s">
        <v>167</v>
      </c>
      <c r="C42" s="68" t="s">
        <v>181</v>
      </c>
      <c r="D42" s="68"/>
      <c r="E42" s="68"/>
      <c r="F42" s="68">
        <v>21.34</v>
      </c>
      <c r="G42" s="68">
        <v>22.02</v>
      </c>
      <c r="H42" s="68">
        <v>23.39</v>
      </c>
      <c r="I42" s="68">
        <v>23.88</v>
      </c>
      <c r="J42" s="68">
        <v>23.89</v>
      </c>
    </row>
    <row r="43" spans="1:10" s="60" customFormat="1" ht="12">
      <c r="A43" s="68">
        <v>3</v>
      </c>
      <c r="B43" s="77" t="s">
        <v>168</v>
      </c>
      <c r="C43" s="68" t="s">
        <v>181</v>
      </c>
      <c r="D43" s="68"/>
      <c r="E43" s="68"/>
      <c r="F43" s="68">
        <v>18.56</v>
      </c>
      <c r="G43" s="68">
        <v>19.01</v>
      </c>
      <c r="H43" s="68">
        <v>19.29</v>
      </c>
      <c r="I43" s="68">
        <v>19.73</v>
      </c>
      <c r="J43" s="68">
        <v>19.73</v>
      </c>
    </row>
    <row r="44" spans="1:10" s="60" customFormat="1" ht="12">
      <c r="A44" s="68"/>
      <c r="B44" s="77" t="s">
        <v>180</v>
      </c>
      <c r="C44" s="68"/>
      <c r="D44" s="68"/>
      <c r="E44" s="68"/>
      <c r="F44" s="68"/>
      <c r="G44" s="68"/>
      <c r="H44" s="68"/>
      <c r="I44" s="68"/>
      <c r="J44" s="68"/>
    </row>
    <row r="45" spans="1:10" s="60" customFormat="1" ht="12">
      <c r="A45" s="68" t="s">
        <v>115</v>
      </c>
      <c r="B45" s="77" t="s">
        <v>169</v>
      </c>
      <c r="C45" s="68" t="s">
        <v>181</v>
      </c>
      <c r="D45" s="68"/>
      <c r="E45" s="68"/>
      <c r="F45" s="68">
        <v>6.62</v>
      </c>
      <c r="G45" s="68">
        <v>7.24</v>
      </c>
      <c r="H45" s="68">
        <v>6.91</v>
      </c>
      <c r="I45" s="68">
        <v>7.71</v>
      </c>
      <c r="J45" s="68">
        <v>7.7</v>
      </c>
    </row>
    <row r="46" spans="1:10" s="60" customFormat="1" ht="12">
      <c r="A46" s="68" t="s">
        <v>116</v>
      </c>
      <c r="B46" s="77" t="s">
        <v>170</v>
      </c>
      <c r="C46" s="68" t="s">
        <v>181</v>
      </c>
      <c r="D46" s="68"/>
      <c r="E46" s="68"/>
      <c r="F46" s="68">
        <f>F43-F45</f>
        <v>11.939999999999998</v>
      </c>
      <c r="G46" s="68">
        <f>G43-G45</f>
        <v>11.770000000000001</v>
      </c>
      <c r="H46" s="68">
        <f>H43-H45</f>
        <v>12.379999999999999</v>
      </c>
      <c r="I46" s="68">
        <f>I43-I45</f>
        <v>12.02</v>
      </c>
      <c r="J46" s="68">
        <f>J43-J45</f>
        <v>12.030000000000001</v>
      </c>
    </row>
    <row r="47" spans="1:10" s="60" customFormat="1" ht="12">
      <c r="A47" s="68">
        <v>4</v>
      </c>
      <c r="B47" s="77" t="s">
        <v>177</v>
      </c>
      <c r="C47" s="68" t="s">
        <v>178</v>
      </c>
      <c r="D47" s="80"/>
      <c r="E47" s="80"/>
      <c r="F47" s="80">
        <v>4.26</v>
      </c>
      <c r="G47" s="80">
        <v>10.31</v>
      </c>
      <c r="H47" s="80">
        <v>4.06</v>
      </c>
      <c r="I47" s="80">
        <v>8.46</v>
      </c>
      <c r="J47" s="80">
        <v>8.46</v>
      </c>
    </row>
    <row r="48" spans="1:10" s="60" customFormat="1" ht="12">
      <c r="A48" s="68">
        <v>5</v>
      </c>
      <c r="B48" s="77" t="s">
        <v>179</v>
      </c>
      <c r="C48" s="68" t="s">
        <v>156</v>
      </c>
      <c r="D48" s="68"/>
      <c r="E48" s="68"/>
      <c r="F48" s="68">
        <v>1.11</v>
      </c>
      <c r="G48" s="68">
        <v>1.33</v>
      </c>
      <c r="H48" s="68">
        <v>1.21</v>
      </c>
      <c r="I48" s="68">
        <v>1.3</v>
      </c>
      <c r="J48" s="68">
        <v>1.68</v>
      </c>
    </row>
    <row r="49" spans="1:10" ht="15.75" hidden="1">
      <c r="A49" s="84">
        <v>6</v>
      </c>
      <c r="B49" s="60" t="s">
        <v>94</v>
      </c>
      <c r="C49" s="85" t="s">
        <v>172</v>
      </c>
      <c r="D49" s="86"/>
      <c r="E49" s="87"/>
      <c r="F49" s="88"/>
      <c r="G49" s="89"/>
      <c r="H49" s="90"/>
      <c r="I49" s="88"/>
      <c r="J49" s="88"/>
    </row>
    <row r="50" spans="1:10" ht="15.75" hidden="1">
      <c r="A50" s="84"/>
      <c r="B50" s="60" t="s">
        <v>194</v>
      </c>
      <c r="C50" s="88" t="s">
        <v>66</v>
      </c>
      <c r="D50" s="86"/>
      <c r="E50" s="87"/>
      <c r="F50" s="88"/>
      <c r="G50" s="89"/>
      <c r="H50" s="90"/>
      <c r="I50" s="88"/>
      <c r="J50" s="88"/>
    </row>
    <row r="51" spans="1:10" ht="15.75" hidden="1">
      <c r="A51" s="84">
        <v>7</v>
      </c>
      <c r="B51" s="60" t="s">
        <v>175</v>
      </c>
      <c r="C51" s="91" t="s">
        <v>172</v>
      </c>
      <c r="D51" s="86"/>
      <c r="E51" s="87"/>
      <c r="F51" s="88"/>
      <c r="G51" s="89"/>
      <c r="H51" s="90"/>
      <c r="I51" s="88"/>
      <c r="J51" s="88"/>
    </row>
    <row r="52" spans="1:10" ht="15.75" hidden="1">
      <c r="A52" s="92" t="s">
        <v>95</v>
      </c>
      <c r="B52" s="60" t="s">
        <v>176</v>
      </c>
      <c r="C52" s="91" t="s">
        <v>172</v>
      </c>
      <c r="D52" s="86"/>
      <c r="E52" s="87"/>
      <c r="F52" s="88"/>
      <c r="G52" s="89"/>
      <c r="H52" s="90"/>
      <c r="I52" s="88"/>
      <c r="J52" s="88"/>
    </row>
    <row r="53" spans="1:10" ht="15.75" hidden="1">
      <c r="A53" s="92" t="s">
        <v>97</v>
      </c>
      <c r="B53" s="60" t="s">
        <v>182</v>
      </c>
      <c r="C53" s="91" t="s">
        <v>172</v>
      </c>
      <c r="D53" s="86"/>
      <c r="E53" s="87"/>
      <c r="F53" s="88"/>
      <c r="G53" s="89"/>
      <c r="H53" s="90"/>
      <c r="I53" s="88"/>
      <c r="J53" s="88"/>
    </row>
    <row r="54" spans="1:10" ht="15.75" hidden="1">
      <c r="A54" s="92" t="s">
        <v>183</v>
      </c>
      <c r="B54" s="60" t="s">
        <v>184</v>
      </c>
      <c r="C54" s="91" t="s">
        <v>172</v>
      </c>
      <c r="D54" s="86"/>
      <c r="E54" s="87"/>
      <c r="F54" s="88"/>
      <c r="G54" s="89"/>
      <c r="H54" s="90"/>
      <c r="I54" s="88"/>
      <c r="J54" s="88"/>
    </row>
    <row r="55" spans="1:10" ht="15.75" hidden="1">
      <c r="A55" s="84">
        <v>8</v>
      </c>
      <c r="B55" s="60" t="s">
        <v>96</v>
      </c>
      <c r="C55" s="84" t="s">
        <v>195</v>
      </c>
      <c r="D55" s="86"/>
      <c r="E55" s="87"/>
      <c r="F55" s="88"/>
      <c r="G55" s="89"/>
      <c r="H55" s="90"/>
      <c r="I55" s="88"/>
      <c r="J55" s="88"/>
    </row>
    <row r="56" spans="1:10" ht="15.75" hidden="1">
      <c r="A56" s="84">
        <v>9</v>
      </c>
      <c r="B56" s="60" t="s">
        <v>185</v>
      </c>
      <c r="C56" s="93"/>
      <c r="D56" s="86"/>
      <c r="E56" s="87"/>
      <c r="F56" s="88"/>
      <c r="G56" s="89"/>
      <c r="H56" s="90"/>
      <c r="I56" s="88"/>
      <c r="J56" s="88"/>
    </row>
    <row r="57" spans="1:10" ht="15.75" hidden="1">
      <c r="A57" s="84"/>
      <c r="B57" s="60" t="s">
        <v>197</v>
      </c>
      <c r="C57" s="88" t="s">
        <v>196</v>
      </c>
      <c r="D57" s="86"/>
      <c r="E57" s="87"/>
      <c r="F57" s="88"/>
      <c r="G57" s="89"/>
      <c r="H57" s="90"/>
      <c r="I57" s="88"/>
      <c r="J57" s="88"/>
    </row>
    <row r="58" spans="1:10" ht="15.75" hidden="1">
      <c r="A58" s="84">
        <v>10</v>
      </c>
      <c r="B58" s="60" t="s">
        <v>186</v>
      </c>
      <c r="C58" s="88" t="s">
        <v>196</v>
      </c>
      <c r="D58" s="86"/>
      <c r="E58" s="87"/>
      <c r="F58" s="88"/>
      <c r="G58" s="89"/>
      <c r="H58" s="90"/>
      <c r="I58" s="88"/>
      <c r="J58" s="88"/>
    </row>
    <row r="59" spans="1:10" ht="15.75" hidden="1">
      <c r="A59" s="84">
        <v>11</v>
      </c>
      <c r="B59" s="60" t="s">
        <v>187</v>
      </c>
      <c r="C59" s="88" t="s">
        <v>163</v>
      </c>
      <c r="D59" s="86"/>
      <c r="E59" s="87"/>
      <c r="F59" s="88"/>
      <c r="G59" s="89"/>
      <c r="H59" s="90"/>
      <c r="I59" s="88"/>
      <c r="J59" s="88"/>
    </row>
    <row r="60" spans="1:10" ht="15.75" hidden="1">
      <c r="A60" s="84">
        <v>12</v>
      </c>
      <c r="B60" s="60" t="s">
        <v>188</v>
      </c>
      <c r="C60" s="88" t="s">
        <v>163</v>
      </c>
      <c r="D60" s="86"/>
      <c r="E60" s="87"/>
      <c r="F60" s="88"/>
      <c r="G60" s="89"/>
      <c r="H60" s="90"/>
      <c r="I60" s="88"/>
      <c r="J60" s="88"/>
    </row>
    <row r="61" spans="1:10" ht="15.75" hidden="1">
      <c r="A61" s="84">
        <v>13</v>
      </c>
      <c r="B61" s="60" t="s">
        <v>189</v>
      </c>
      <c r="C61" s="88" t="s">
        <v>163</v>
      </c>
      <c r="D61" s="94"/>
      <c r="E61" s="95"/>
      <c r="F61" s="88"/>
      <c r="G61" s="89"/>
      <c r="H61" s="90"/>
      <c r="I61" s="88"/>
      <c r="J61" s="88"/>
    </row>
    <row r="62" spans="1:10" ht="15.75" hidden="1">
      <c r="A62" s="84">
        <v>14</v>
      </c>
      <c r="B62" s="60" t="s">
        <v>190</v>
      </c>
      <c r="C62" s="88" t="s">
        <v>99</v>
      </c>
      <c r="D62" s="94" t="e">
        <f>D61/D51</f>
        <v>#DIV/0!</v>
      </c>
      <c r="E62" s="94"/>
      <c r="F62" s="96"/>
      <c r="G62" s="96"/>
      <c r="H62" s="96"/>
      <c r="I62" s="96"/>
      <c r="J62" s="96"/>
    </row>
    <row r="63" spans="1:10" ht="15.75" hidden="1">
      <c r="A63" s="97">
        <v>15</v>
      </c>
      <c r="B63" s="98" t="s">
        <v>191</v>
      </c>
      <c r="C63" s="99" t="s">
        <v>99</v>
      </c>
      <c r="D63" s="100"/>
      <c r="E63" s="101"/>
      <c r="F63" s="102"/>
      <c r="G63" s="102"/>
      <c r="H63" s="102"/>
      <c r="I63" s="102"/>
      <c r="J63" s="102"/>
    </row>
    <row r="65" ht="78" customHeight="1"/>
    <row r="66" spans="3:7" ht="15.75">
      <c r="C66" s="89" t="s">
        <v>68</v>
      </c>
      <c r="D66" s="26"/>
      <c r="E66" s="26"/>
      <c r="F66" s="62"/>
      <c r="G66" s="23" t="s">
        <v>391</v>
      </c>
    </row>
  </sheetData>
  <mergeCells count="22">
    <mergeCell ref="A1:J1"/>
    <mergeCell ref="D4:E4"/>
    <mergeCell ref="F4:G4"/>
    <mergeCell ref="A38:A40"/>
    <mergeCell ref="B38:B40"/>
    <mergeCell ref="C38:C40"/>
    <mergeCell ref="D38:G38"/>
    <mergeCell ref="A36:J36"/>
    <mergeCell ref="H38:I38"/>
    <mergeCell ref="D39:E39"/>
    <mergeCell ref="F39:G39"/>
    <mergeCell ref="A3:A5"/>
    <mergeCell ref="B3:B5"/>
    <mergeCell ref="C3:C5"/>
    <mergeCell ref="D3:G3"/>
    <mergeCell ref="H39:H40"/>
    <mergeCell ref="I39:I40"/>
    <mergeCell ref="J3:J5"/>
    <mergeCell ref="H4:H5"/>
    <mergeCell ref="I4:I5"/>
    <mergeCell ref="H3:I3"/>
    <mergeCell ref="J38:J40"/>
  </mergeCells>
  <printOptions horizontalCentered="1"/>
  <pageMargins left="0.3937007874015748" right="0.3937007874015748" top="1.1811023622047245" bottom="0.3937007874015748" header="0" footer="0"/>
  <pageSetup horizontalDpi="600" verticalDpi="600" orientation="landscape" paperSize="9" r:id="rId1"/>
  <ignoredErrors>
    <ignoredError sqref="G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9"/>
  <sheetViews>
    <sheetView zoomScale="90" zoomScaleNormal="90" workbookViewId="0" topLeftCell="A1">
      <selection activeCell="A1" sqref="A1"/>
    </sheetView>
  </sheetViews>
  <sheetFormatPr defaultColWidth="8.88671875" defaultRowHeight="15"/>
  <cols>
    <col min="1" max="1" width="5.77734375" style="36" customWidth="1"/>
    <col min="2" max="3" width="8.88671875" style="36" customWidth="1"/>
    <col min="4" max="4" width="10.77734375" style="36" customWidth="1"/>
    <col min="5" max="5" width="8.6640625" style="36" customWidth="1"/>
    <col min="6" max="7" width="10.6640625" style="36" customWidth="1"/>
    <col min="8" max="8" width="7.6640625" style="36" customWidth="1"/>
    <col min="9" max="16384" width="8.88671875" style="36" customWidth="1"/>
  </cols>
  <sheetData>
    <row r="1" spans="2:6" ht="16.5" customHeight="1">
      <c r="B1" s="64"/>
      <c r="C1" s="64"/>
      <c r="D1" s="270" t="s">
        <v>250</v>
      </c>
      <c r="E1" s="64"/>
      <c r="F1" s="64"/>
    </row>
    <row r="2" spans="1:6" ht="16.5" customHeight="1">
      <c r="A2" s="38"/>
      <c r="B2" s="270" t="s">
        <v>251</v>
      </c>
      <c r="C2" s="64"/>
      <c r="D2" s="64"/>
      <c r="E2" s="64"/>
      <c r="F2" s="64"/>
    </row>
    <row r="3" spans="1:6" ht="16.5" customHeight="1">
      <c r="A3" s="38"/>
      <c r="B3" s="270" t="s">
        <v>450</v>
      </c>
      <c r="C3" s="64"/>
      <c r="D3" s="64"/>
      <c r="E3" s="64"/>
      <c r="F3" s="64"/>
    </row>
    <row r="4" ht="15.75">
      <c r="A4" s="38"/>
    </row>
    <row r="5" spans="1:7" ht="15.75">
      <c r="A5" s="38"/>
      <c r="G5" s="289" t="s">
        <v>61</v>
      </c>
    </row>
    <row r="6" spans="1:7" ht="15.75">
      <c r="A6" s="38" t="s">
        <v>133</v>
      </c>
      <c r="B6" s="36" t="s">
        <v>58</v>
      </c>
      <c r="G6" s="267">
        <f>G16</f>
        <v>31.938</v>
      </c>
    </row>
    <row r="7" ht="9.75" customHeight="1">
      <c r="A7" s="38"/>
    </row>
    <row r="8" spans="1:2" ht="15.75">
      <c r="A8" s="38"/>
      <c r="B8" s="36" t="s">
        <v>420</v>
      </c>
    </row>
    <row r="9" ht="8.25" customHeight="1">
      <c r="A9" s="38"/>
    </row>
    <row r="10" spans="1:7" ht="15.75">
      <c r="A10" s="38"/>
      <c r="B10" s="123" t="s">
        <v>57</v>
      </c>
      <c r="C10" s="124"/>
      <c r="D10" s="24" t="s">
        <v>59</v>
      </c>
      <c r="E10" s="427" t="s">
        <v>56</v>
      </c>
      <c r="F10" s="124" t="s">
        <v>60</v>
      </c>
      <c r="G10" s="124"/>
    </row>
    <row r="11" spans="1:7" ht="15.75">
      <c r="A11" s="38"/>
      <c r="B11" s="358" t="s">
        <v>54</v>
      </c>
      <c r="C11" s="359"/>
      <c r="D11" s="443">
        <v>1100</v>
      </c>
      <c r="E11" s="292">
        <v>12</v>
      </c>
      <c r="F11" s="358"/>
      <c r="G11" s="361">
        <f>(D11*E11)/1000</f>
        <v>13.2</v>
      </c>
    </row>
    <row r="12" spans="1:7" ht="15.75">
      <c r="A12" s="38"/>
      <c r="B12" s="358" t="s">
        <v>55</v>
      </c>
      <c r="C12" s="359"/>
      <c r="D12" s="294">
        <v>750</v>
      </c>
      <c r="E12" s="292">
        <v>13</v>
      </c>
      <c r="F12" s="358"/>
      <c r="G12" s="360">
        <f>(D12*E12)/1000</f>
        <v>9.75</v>
      </c>
    </row>
    <row r="13" spans="1:7" ht="15.75">
      <c r="A13" s="38"/>
      <c r="B13" s="358" t="s">
        <v>321</v>
      </c>
      <c r="C13" s="359"/>
      <c r="D13" s="294">
        <v>24</v>
      </c>
      <c r="E13" s="292">
        <v>13</v>
      </c>
      <c r="F13" s="358"/>
      <c r="G13" s="360">
        <f>(D13*E13*2*12)/1000</f>
        <v>7.488</v>
      </c>
    </row>
    <row r="14" spans="1:7" ht="15.75">
      <c r="A14" s="38"/>
      <c r="B14" s="358" t="s">
        <v>551</v>
      </c>
      <c r="C14" s="359"/>
      <c r="D14" s="294">
        <v>70</v>
      </c>
      <c r="E14" s="292">
        <v>10</v>
      </c>
      <c r="F14" s="358"/>
      <c r="G14" s="360">
        <f>(D14*E14*2)/1000</f>
        <v>1.4</v>
      </c>
    </row>
    <row r="15" spans="1:7" ht="15.75">
      <c r="A15" s="38"/>
      <c r="B15" s="358" t="s">
        <v>552</v>
      </c>
      <c r="C15" s="359"/>
      <c r="D15" s="294">
        <v>100</v>
      </c>
      <c r="E15" s="292">
        <v>1</v>
      </c>
      <c r="F15" s="358"/>
      <c r="G15" s="360">
        <f>(D15*E15)/1000</f>
        <v>0.1</v>
      </c>
    </row>
    <row r="16" spans="1:7" s="264" customFormat="1" ht="15.75">
      <c r="A16" s="265"/>
      <c r="B16" s="409" t="s">
        <v>69</v>
      </c>
      <c r="C16" s="359"/>
      <c r="D16" s="410"/>
      <c r="E16" s="410"/>
      <c r="F16" s="358"/>
      <c r="G16" s="360">
        <f>SUM(G11:G15)</f>
        <v>31.938</v>
      </c>
    </row>
    <row r="17" ht="15.75">
      <c r="A17" s="38"/>
    </row>
    <row r="18" spans="1:7" ht="15.75">
      <c r="A18" s="38" t="s">
        <v>137</v>
      </c>
      <c r="B18" s="36" t="s">
        <v>252</v>
      </c>
      <c r="G18" s="411">
        <v>9.83</v>
      </c>
    </row>
    <row r="19" spans="1:7" ht="15.75">
      <c r="A19" s="38"/>
      <c r="B19" s="36" t="s">
        <v>253</v>
      </c>
      <c r="G19" s="412"/>
    </row>
    <row r="20" spans="1:7" ht="15.75">
      <c r="A20" s="38"/>
      <c r="B20" s="36" t="s">
        <v>553</v>
      </c>
      <c r="G20" s="38"/>
    </row>
    <row r="21" spans="1:7" ht="15.75">
      <c r="A21" s="38"/>
      <c r="G21" s="38"/>
    </row>
    <row r="22" spans="1:7" ht="15.75">
      <c r="A22" s="38" t="s">
        <v>139</v>
      </c>
      <c r="B22" s="36" t="s">
        <v>421</v>
      </c>
      <c r="G22" s="411">
        <v>211.24</v>
      </c>
    </row>
    <row r="23" spans="1:7" ht="15.75">
      <c r="A23" s="38"/>
      <c r="B23" s="36" t="s">
        <v>422</v>
      </c>
      <c r="G23" s="38"/>
    </row>
    <row r="24" spans="1:7" ht="15.75">
      <c r="A24" s="38"/>
      <c r="G24" s="38"/>
    </row>
    <row r="25" spans="1:7" ht="15.75">
      <c r="A25" s="38" t="s">
        <v>140</v>
      </c>
      <c r="B25" s="36" t="s">
        <v>466</v>
      </c>
      <c r="G25" s="411">
        <f>G22*34.2%</f>
        <v>72.24408000000001</v>
      </c>
    </row>
    <row r="26" spans="1:7" ht="15.75">
      <c r="A26" s="38"/>
      <c r="G26" s="38"/>
    </row>
    <row r="27" spans="1:7" ht="15.75">
      <c r="A27" s="38" t="s">
        <v>141</v>
      </c>
      <c r="B27" s="36" t="s">
        <v>423</v>
      </c>
      <c r="G27" s="411">
        <f>G33</f>
        <v>2.325</v>
      </c>
    </row>
    <row r="28" spans="1:7" ht="15.75">
      <c r="A28" s="38"/>
      <c r="G28" s="289"/>
    </row>
    <row r="29" spans="1:7" ht="38.25">
      <c r="A29" s="38"/>
      <c r="B29" s="462" t="s">
        <v>57</v>
      </c>
      <c r="C29" s="463"/>
      <c r="D29" s="308" t="s">
        <v>59</v>
      </c>
      <c r="E29" s="308" t="s">
        <v>324</v>
      </c>
      <c r="F29" s="308" t="s">
        <v>328</v>
      </c>
      <c r="G29" s="308" t="s">
        <v>323</v>
      </c>
    </row>
    <row r="30" spans="1:7" ht="15.75">
      <c r="A30" s="38"/>
      <c r="B30" s="358" t="s">
        <v>54</v>
      </c>
      <c r="C30" s="367"/>
      <c r="D30" s="292">
        <v>1100</v>
      </c>
      <c r="E30" s="292">
        <v>1</v>
      </c>
      <c r="F30" s="292">
        <v>12</v>
      </c>
      <c r="G30" s="415">
        <f>D30*E30/1000</f>
        <v>1.1</v>
      </c>
    </row>
    <row r="31" spans="1:7" ht="15.75">
      <c r="A31" s="38"/>
      <c r="B31" s="358" t="s">
        <v>55</v>
      </c>
      <c r="C31" s="368"/>
      <c r="D31" s="437">
        <v>750</v>
      </c>
      <c r="E31" s="292">
        <v>1</v>
      </c>
      <c r="F31" s="292">
        <v>12</v>
      </c>
      <c r="G31" s="415">
        <f>D31*E31/1000</f>
        <v>0.75</v>
      </c>
    </row>
    <row r="32" spans="1:7" ht="15.75">
      <c r="A32" s="38"/>
      <c r="B32" s="358" t="s">
        <v>554</v>
      </c>
      <c r="C32" s="368"/>
      <c r="D32" s="437">
        <v>950</v>
      </c>
      <c r="E32" s="292">
        <v>1</v>
      </c>
      <c r="F32" s="292">
        <v>24</v>
      </c>
      <c r="G32" s="415">
        <f>D32*E32/1000/2</f>
        <v>0.475</v>
      </c>
    </row>
    <row r="33" spans="1:7" s="264" customFormat="1" ht="15.75">
      <c r="A33" s="265"/>
      <c r="B33" s="362" t="s">
        <v>69</v>
      </c>
      <c r="C33" s="369"/>
      <c r="D33" s="364"/>
      <c r="E33" s="364"/>
      <c r="F33" s="364"/>
      <c r="G33" s="416">
        <f>SUM(G30:G32)</f>
        <v>2.325</v>
      </c>
    </row>
    <row r="34" spans="1:7" ht="15.75">
      <c r="A34" s="38"/>
      <c r="G34" s="289"/>
    </row>
    <row r="35" spans="1:7" ht="15.75">
      <c r="A35" s="38"/>
      <c r="C35" s="64" t="s">
        <v>52</v>
      </c>
      <c r="D35" s="64"/>
      <c r="E35" s="64"/>
      <c r="F35" s="64"/>
      <c r="G35" s="413">
        <f>G6+G18+G22+G25+G27</f>
        <v>327.57708</v>
      </c>
    </row>
    <row r="36" ht="15.75">
      <c r="A36" s="38"/>
    </row>
    <row r="37" ht="15.75">
      <c r="A37" s="38"/>
    </row>
    <row r="38" ht="15.75">
      <c r="A38" s="38"/>
    </row>
    <row r="39" ht="15.75">
      <c r="A39" s="38"/>
    </row>
    <row r="40" ht="15.75">
      <c r="A40" s="38"/>
    </row>
    <row r="41" ht="15.75">
      <c r="A41" s="38"/>
    </row>
    <row r="42" ht="15.75">
      <c r="A42" s="38"/>
    </row>
    <row r="43" spans="1:3" ht="15.75">
      <c r="A43" s="38"/>
      <c r="C43" s="36" t="s">
        <v>68</v>
      </c>
    </row>
    <row r="44" ht="15.75">
      <c r="A44" s="38"/>
    </row>
    <row r="45" ht="15.75">
      <c r="A45" s="38"/>
    </row>
    <row r="46" ht="15.75">
      <c r="A46" s="38"/>
    </row>
    <row r="47" ht="15.75">
      <c r="A47" s="38"/>
    </row>
    <row r="48" ht="15.75">
      <c r="A48" s="38"/>
    </row>
    <row r="49" ht="15.75">
      <c r="A49" s="38"/>
    </row>
    <row r="50" spans="2:6" s="269" customFormat="1" ht="18.75">
      <c r="B50" s="270"/>
      <c r="C50" s="270"/>
      <c r="D50" s="270" t="s">
        <v>332</v>
      </c>
      <c r="E50" s="270"/>
      <c r="F50" s="270"/>
    </row>
    <row r="51" spans="1:6" s="269" customFormat="1" ht="18.75">
      <c r="A51" s="271"/>
      <c r="B51" s="270" t="s">
        <v>333</v>
      </c>
      <c r="C51" s="270"/>
      <c r="D51" s="270"/>
      <c r="E51" s="270"/>
      <c r="F51" s="270"/>
    </row>
    <row r="52" spans="1:6" s="269" customFormat="1" ht="18.75">
      <c r="A52" s="271"/>
      <c r="C52" s="270" t="s">
        <v>449</v>
      </c>
      <c r="D52" s="270"/>
      <c r="E52" s="270"/>
      <c r="F52" s="270"/>
    </row>
    <row r="56" spans="1:8" ht="15.75">
      <c r="A56" s="38" t="s">
        <v>133</v>
      </c>
      <c r="B56" s="36" t="s">
        <v>71</v>
      </c>
      <c r="G56" s="267">
        <f>G35</f>
        <v>327.57708</v>
      </c>
      <c r="H56" s="36" t="s">
        <v>79</v>
      </c>
    </row>
    <row r="57" ht="15.75">
      <c r="A57" s="38"/>
    </row>
    <row r="58" spans="1:8" ht="15.75">
      <c r="A58" s="38" t="s">
        <v>136</v>
      </c>
      <c r="B58" s="36" t="s">
        <v>424</v>
      </c>
      <c r="G58" s="414">
        <v>70</v>
      </c>
      <c r="H58" s="36" t="s">
        <v>79</v>
      </c>
    </row>
    <row r="59" spans="1:7" ht="15.75">
      <c r="A59" s="38"/>
      <c r="G59" s="414"/>
    </row>
    <row r="60" spans="1:8" ht="15.75">
      <c r="A60" s="38" t="s">
        <v>137</v>
      </c>
      <c r="B60" s="36" t="s">
        <v>555</v>
      </c>
      <c r="G60" s="414">
        <f>(800*4)/1000</f>
        <v>3.2</v>
      </c>
      <c r="H60" s="36" t="s">
        <v>79</v>
      </c>
    </row>
    <row r="61" ht="15.75">
      <c r="A61" s="38"/>
    </row>
    <row r="62" spans="1:8" ht="15.75">
      <c r="A62" s="38" t="s">
        <v>139</v>
      </c>
      <c r="B62" s="36" t="s">
        <v>330</v>
      </c>
      <c r="G62" s="370">
        <v>2780.25</v>
      </c>
      <c r="H62" s="36" t="s">
        <v>79</v>
      </c>
    </row>
    <row r="63" ht="15.75">
      <c r="A63" s="38"/>
    </row>
    <row r="64" spans="1:8" ht="15.75" hidden="1">
      <c r="A64" s="38" t="s">
        <v>140</v>
      </c>
      <c r="B64" s="36" t="s">
        <v>331</v>
      </c>
      <c r="G64" s="267"/>
      <c r="H64" s="36" t="s">
        <v>79</v>
      </c>
    </row>
    <row r="65" ht="15.75">
      <c r="A65" s="38"/>
    </row>
    <row r="66" spans="1:8" ht="15.75">
      <c r="A66" s="38" t="s">
        <v>140</v>
      </c>
      <c r="B66" s="64" t="s">
        <v>52</v>
      </c>
      <c r="C66" s="64"/>
      <c r="D66" s="64"/>
      <c r="E66" s="64"/>
      <c r="F66" s="64"/>
      <c r="G66" s="268">
        <f>SUM(G56:G65)</f>
        <v>3181.02708</v>
      </c>
      <c r="H66" s="64" t="s">
        <v>79</v>
      </c>
    </row>
    <row r="81" ht="15.75">
      <c r="C81" s="36" t="s">
        <v>68</v>
      </c>
    </row>
    <row r="100" ht="15.75">
      <c r="D100" s="38" t="s">
        <v>404</v>
      </c>
    </row>
    <row r="101" spans="2:6" ht="15.75">
      <c r="B101" s="64"/>
      <c r="C101" s="64"/>
      <c r="D101" s="64" t="s">
        <v>250</v>
      </c>
      <c r="E101" s="64"/>
      <c r="F101" s="64"/>
    </row>
    <row r="102" spans="1:6" ht="15.75">
      <c r="A102" s="38"/>
      <c r="B102" s="64" t="s">
        <v>251</v>
      </c>
      <c r="C102" s="64"/>
      <c r="D102" s="64"/>
      <c r="E102" s="64"/>
      <c r="F102" s="64"/>
    </row>
    <row r="103" spans="1:6" ht="15.75">
      <c r="A103" s="38"/>
      <c r="B103" s="64" t="s">
        <v>468</v>
      </c>
      <c r="C103" s="64"/>
      <c r="D103" s="64"/>
      <c r="E103" s="64"/>
      <c r="F103" s="64"/>
    </row>
    <row r="104" ht="15.75">
      <c r="A104" s="38"/>
    </row>
    <row r="105" spans="1:7" ht="15.75">
      <c r="A105" s="38"/>
      <c r="G105" s="289" t="s">
        <v>61</v>
      </c>
    </row>
    <row r="106" spans="1:7" ht="15.75">
      <c r="A106" s="38" t="s">
        <v>133</v>
      </c>
      <c r="B106" s="36" t="s">
        <v>58</v>
      </c>
      <c r="G106" s="267">
        <f>G116</f>
        <v>59.094</v>
      </c>
    </row>
    <row r="107" ht="9.75" customHeight="1">
      <c r="A107" s="38"/>
    </row>
    <row r="108" spans="1:2" ht="15.75">
      <c r="A108" s="38"/>
      <c r="B108" s="36" t="s">
        <v>420</v>
      </c>
    </row>
    <row r="109" ht="8.25" customHeight="1">
      <c r="A109" s="38"/>
    </row>
    <row r="110" spans="1:7" ht="15.75">
      <c r="A110" s="38"/>
      <c r="B110" s="123" t="s">
        <v>57</v>
      </c>
      <c r="C110" s="124"/>
      <c r="D110" s="24" t="s">
        <v>59</v>
      </c>
      <c r="E110" s="104" t="s">
        <v>56</v>
      </c>
      <c r="F110" s="124" t="s">
        <v>60</v>
      </c>
      <c r="G110" s="124"/>
    </row>
    <row r="111" spans="1:7" ht="15.75">
      <c r="A111" s="38"/>
      <c r="B111" s="358" t="s">
        <v>54</v>
      </c>
      <c r="C111" s="359"/>
      <c r="D111" s="436">
        <v>540</v>
      </c>
      <c r="E111" s="292">
        <v>12</v>
      </c>
      <c r="F111" s="358"/>
      <c r="G111" s="360">
        <f>(D111*E111)/1000</f>
        <v>6.48</v>
      </c>
    </row>
    <row r="112" spans="1:7" ht="15.75">
      <c r="A112" s="38"/>
      <c r="B112" s="358" t="s">
        <v>55</v>
      </c>
      <c r="C112" s="359"/>
      <c r="D112" s="292">
        <v>630</v>
      </c>
      <c r="E112" s="292">
        <v>13</v>
      </c>
      <c r="F112" s="358"/>
      <c r="G112" s="360">
        <f>(D112*E112)/1000</f>
        <v>8.19</v>
      </c>
    </row>
    <row r="113" spans="1:7" ht="15.75">
      <c r="A113" s="38"/>
      <c r="B113" s="358" t="s">
        <v>321</v>
      </c>
      <c r="C113" s="359"/>
      <c r="D113" s="437">
        <v>24</v>
      </c>
      <c r="E113" s="292">
        <v>13</v>
      </c>
      <c r="F113" s="358"/>
      <c r="G113" s="361">
        <f>(D113*E113*2*12)/1000</f>
        <v>7.488</v>
      </c>
    </row>
    <row r="114" spans="1:7" ht="15.75">
      <c r="A114" s="38"/>
      <c r="B114" s="358" t="s">
        <v>322</v>
      </c>
      <c r="C114" s="359"/>
      <c r="D114" s="437">
        <v>63</v>
      </c>
      <c r="E114" s="292">
        <v>13</v>
      </c>
      <c r="F114" s="358"/>
      <c r="G114" s="360">
        <f>(D114*E114*2*12)/1000</f>
        <v>19.656</v>
      </c>
    </row>
    <row r="115" spans="1:7" ht="15.75">
      <c r="A115" s="38"/>
      <c r="B115" s="358" t="s">
        <v>465</v>
      </c>
      <c r="C115" s="359"/>
      <c r="D115" s="292">
        <v>720</v>
      </c>
      <c r="E115" s="292">
        <v>1</v>
      </c>
      <c r="F115" s="358"/>
      <c r="G115" s="360">
        <f>(D115*E115*2*12)/1000</f>
        <v>17.28</v>
      </c>
    </row>
    <row r="116" spans="1:7" s="264" customFormat="1" ht="15.75">
      <c r="A116" s="265"/>
      <c r="B116" s="362" t="s">
        <v>69</v>
      </c>
      <c r="C116" s="363"/>
      <c r="D116" s="364"/>
      <c r="E116" s="364"/>
      <c r="F116" s="365"/>
      <c r="G116" s="366">
        <f>SUM(G111:G115)</f>
        <v>59.094</v>
      </c>
    </row>
    <row r="117" ht="15.75">
      <c r="A117" s="38"/>
    </row>
    <row r="118" spans="1:7" ht="15.75">
      <c r="A118" s="38" t="s">
        <v>136</v>
      </c>
      <c r="B118" s="36" t="s">
        <v>252</v>
      </c>
      <c r="G118" s="411">
        <v>11.01</v>
      </c>
    </row>
    <row r="119" spans="1:7" ht="15.75">
      <c r="A119" s="38"/>
      <c r="B119" s="36" t="s">
        <v>253</v>
      </c>
      <c r="G119" s="412"/>
    </row>
    <row r="120" spans="1:7" ht="15.75">
      <c r="A120" s="38"/>
      <c r="B120" s="36" t="s">
        <v>425</v>
      </c>
      <c r="G120" s="38"/>
    </row>
    <row r="121" spans="1:7" ht="15.75">
      <c r="A121" s="38"/>
      <c r="G121" s="38"/>
    </row>
    <row r="122" spans="1:7" ht="15.75">
      <c r="A122" s="38" t="s">
        <v>137</v>
      </c>
      <c r="B122" s="36" t="s">
        <v>421</v>
      </c>
      <c r="G122" s="411">
        <v>198.04</v>
      </c>
    </row>
    <row r="123" spans="1:7" ht="15.75">
      <c r="A123" s="38"/>
      <c r="G123" s="38"/>
    </row>
    <row r="124" spans="1:7" ht="15.75">
      <c r="A124" s="38" t="s">
        <v>139</v>
      </c>
      <c r="B124" s="36" t="s">
        <v>467</v>
      </c>
      <c r="G124" s="411">
        <f>G122*14.2%</f>
        <v>28.121679999999998</v>
      </c>
    </row>
    <row r="125" spans="1:7" ht="15.75">
      <c r="A125" s="38"/>
      <c r="G125" s="38"/>
    </row>
    <row r="126" spans="1:7" ht="15.75">
      <c r="A126" s="38" t="s">
        <v>140</v>
      </c>
      <c r="B126" s="36" t="s">
        <v>325</v>
      </c>
      <c r="G126" s="411">
        <f>G131</f>
        <v>1.008</v>
      </c>
    </row>
    <row r="127" spans="1:7" ht="15.75">
      <c r="A127" s="38"/>
      <c r="G127" s="289"/>
    </row>
    <row r="128" spans="1:7" ht="38.25">
      <c r="A128" s="38"/>
      <c r="B128" s="462" t="s">
        <v>57</v>
      </c>
      <c r="C128" s="463"/>
      <c r="D128" s="308" t="s">
        <v>59</v>
      </c>
      <c r="E128" s="308" t="s">
        <v>324</v>
      </c>
      <c r="F128" s="308" t="s">
        <v>328</v>
      </c>
      <c r="G128" s="308" t="s">
        <v>323</v>
      </c>
    </row>
    <row r="129" spans="1:7" ht="15.75">
      <c r="A129" s="38"/>
      <c r="B129" s="358" t="s">
        <v>54</v>
      </c>
      <c r="C129" s="367"/>
      <c r="D129" s="292">
        <v>540</v>
      </c>
      <c r="E129" s="292">
        <v>1</v>
      </c>
      <c r="F129" s="292">
        <v>12</v>
      </c>
      <c r="G129" s="415">
        <f>D129*E129/1000</f>
        <v>0.54</v>
      </c>
    </row>
    <row r="130" spans="1:7" ht="15.75">
      <c r="A130" s="38"/>
      <c r="B130" s="358" t="s">
        <v>55</v>
      </c>
      <c r="C130" s="368"/>
      <c r="D130" s="437">
        <v>468</v>
      </c>
      <c r="E130" s="292">
        <v>1</v>
      </c>
      <c r="F130" s="292">
        <v>12</v>
      </c>
      <c r="G130" s="415">
        <f>D130*E130/1000</f>
        <v>0.468</v>
      </c>
    </row>
    <row r="131" spans="1:7" s="264" customFormat="1" ht="15.75">
      <c r="A131" s="265"/>
      <c r="B131" s="362" t="s">
        <v>69</v>
      </c>
      <c r="C131" s="369"/>
      <c r="D131" s="364"/>
      <c r="E131" s="364"/>
      <c r="F131" s="364"/>
      <c r="G131" s="416">
        <f>SUM(G129:G130)</f>
        <v>1.008</v>
      </c>
    </row>
    <row r="132" spans="1:7" s="264" customFormat="1" ht="15.75">
      <c r="A132" s="265"/>
      <c r="B132" s="417"/>
      <c r="C132" s="418"/>
      <c r="D132" s="418"/>
      <c r="E132" s="418"/>
      <c r="F132" s="418"/>
      <c r="G132" s="419"/>
    </row>
    <row r="133" spans="1:7" ht="15.75">
      <c r="A133" s="38"/>
      <c r="C133" s="64" t="s">
        <v>52</v>
      </c>
      <c r="D133" s="64"/>
      <c r="E133" s="64"/>
      <c r="F133" s="64"/>
      <c r="G133" s="413">
        <f>G106+G118+G122+G124+G126</f>
        <v>297.27367999999996</v>
      </c>
    </row>
    <row r="134" spans="1:7" ht="15.75">
      <c r="A134" s="38"/>
      <c r="C134" s="64"/>
      <c r="D134" s="64"/>
      <c r="E134" s="64"/>
      <c r="F134" s="64"/>
      <c r="G134" s="413"/>
    </row>
    <row r="135" spans="1:7" ht="15.75">
      <c r="A135" s="38"/>
      <c r="C135" s="64"/>
      <c r="D135" s="64"/>
      <c r="E135" s="64"/>
      <c r="F135" s="64"/>
      <c r="G135" s="413"/>
    </row>
    <row r="136" spans="1:7" ht="15.75">
      <c r="A136" s="38"/>
      <c r="C136" s="64"/>
      <c r="D136" s="64"/>
      <c r="E136" s="64"/>
      <c r="F136" s="64"/>
      <c r="G136" s="413"/>
    </row>
    <row r="137" spans="1:7" ht="15.75">
      <c r="A137" s="38"/>
      <c r="C137" s="64"/>
      <c r="D137" s="64"/>
      <c r="E137" s="64"/>
      <c r="F137" s="64"/>
      <c r="G137" s="413"/>
    </row>
    <row r="138" spans="1:7" ht="15.75">
      <c r="A138" s="38"/>
      <c r="C138" s="64"/>
      <c r="D138" s="64"/>
      <c r="E138" s="64"/>
      <c r="F138" s="64"/>
      <c r="G138" s="413"/>
    </row>
    <row r="139" spans="1:7" ht="15.75">
      <c r="A139" s="38"/>
      <c r="C139" s="64"/>
      <c r="D139" s="64"/>
      <c r="E139" s="64"/>
      <c r="F139" s="64"/>
      <c r="G139" s="413"/>
    </row>
    <row r="140" spans="1:7" ht="15.75">
      <c r="A140" s="38"/>
      <c r="C140" s="64"/>
      <c r="D140" s="64"/>
      <c r="E140" s="64"/>
      <c r="F140" s="64"/>
      <c r="G140" s="413"/>
    </row>
    <row r="141" spans="1:7" ht="15.75">
      <c r="A141" s="38"/>
      <c r="C141" s="36" t="s">
        <v>68</v>
      </c>
      <c r="D141" s="64"/>
      <c r="E141" s="64"/>
      <c r="F141" s="36" t="s">
        <v>391</v>
      </c>
      <c r="G141" s="413"/>
    </row>
    <row r="142" spans="1:7" ht="15.75">
      <c r="A142" s="38"/>
      <c r="C142" s="64"/>
      <c r="D142" s="64"/>
      <c r="E142" s="64"/>
      <c r="F142" s="64"/>
      <c r="G142" s="413"/>
    </row>
    <row r="143" spans="1:7" ht="15.75">
      <c r="A143" s="38"/>
      <c r="C143" s="64"/>
      <c r="D143" s="64"/>
      <c r="E143" s="64"/>
      <c r="F143" s="64"/>
      <c r="G143" s="413"/>
    </row>
    <row r="144" spans="1:7" ht="15.75">
      <c r="A144" s="38"/>
      <c r="C144" s="64"/>
      <c r="D144" s="64"/>
      <c r="E144" s="64"/>
      <c r="F144" s="64"/>
      <c r="G144" s="413"/>
    </row>
    <row r="145" spans="1:7" ht="15.75">
      <c r="A145" s="38"/>
      <c r="C145" s="64"/>
      <c r="D145" s="64"/>
      <c r="E145" s="64"/>
      <c r="F145" s="64"/>
      <c r="G145" s="413"/>
    </row>
    <row r="146" ht="32.25" customHeight="1"/>
    <row r="148" spans="2:6" s="269" customFormat="1" ht="18.75">
      <c r="B148" s="270"/>
      <c r="C148" s="270"/>
      <c r="D148" s="270" t="s">
        <v>332</v>
      </c>
      <c r="E148" s="270"/>
      <c r="F148" s="270"/>
    </row>
    <row r="149" spans="1:6" s="269" customFormat="1" ht="18.75">
      <c r="A149" s="271"/>
      <c r="B149" s="270" t="s">
        <v>333</v>
      </c>
      <c r="C149" s="270"/>
      <c r="D149" s="270"/>
      <c r="E149" s="270"/>
      <c r="F149" s="270"/>
    </row>
    <row r="150" spans="1:6" s="269" customFormat="1" ht="18.75">
      <c r="A150" s="271"/>
      <c r="C150" s="270" t="s">
        <v>469</v>
      </c>
      <c r="D150" s="270"/>
      <c r="E150" s="270"/>
      <c r="F150" s="270"/>
    </row>
    <row r="154" spans="1:8" ht="15.75">
      <c r="A154" s="38" t="s">
        <v>133</v>
      </c>
      <c r="B154" s="36" t="s">
        <v>71</v>
      </c>
      <c r="G154" s="267">
        <f>G133</f>
        <v>297.27367999999996</v>
      </c>
      <c r="H154" s="36" t="s">
        <v>79</v>
      </c>
    </row>
    <row r="155" ht="15.75">
      <c r="A155" s="38"/>
    </row>
    <row r="156" spans="1:8" ht="15.75">
      <c r="A156" s="38" t="s">
        <v>136</v>
      </c>
      <c r="B156" s="36" t="s">
        <v>407</v>
      </c>
      <c r="G156" s="36">
        <v>1.77</v>
      </c>
      <c r="H156" s="36" t="s">
        <v>79</v>
      </c>
    </row>
    <row r="157" ht="15.75">
      <c r="A157" s="38"/>
    </row>
    <row r="158" spans="1:8" ht="15.75">
      <c r="A158" s="38" t="s">
        <v>137</v>
      </c>
      <c r="B158" s="36" t="s">
        <v>424</v>
      </c>
      <c r="G158" s="414">
        <v>60.5</v>
      </c>
      <c r="H158" s="36" t="s">
        <v>79</v>
      </c>
    </row>
    <row r="159" ht="15.75">
      <c r="A159" s="38"/>
    </row>
    <row r="160" spans="1:8" ht="15.75">
      <c r="A160" s="38" t="s">
        <v>139</v>
      </c>
      <c r="B160" s="36" t="s">
        <v>330</v>
      </c>
      <c r="G160" s="370">
        <v>1082.25</v>
      </c>
      <c r="H160" s="36" t="s">
        <v>79</v>
      </c>
    </row>
    <row r="161" ht="15.75">
      <c r="A161" s="38"/>
    </row>
    <row r="162" spans="1:8" ht="15.75" hidden="1">
      <c r="A162" s="38" t="s">
        <v>140</v>
      </c>
      <c r="B162" s="36" t="s">
        <v>331</v>
      </c>
      <c r="G162" s="267"/>
      <c r="H162" s="36" t="s">
        <v>79</v>
      </c>
    </row>
    <row r="163" ht="15.75" hidden="1">
      <c r="A163" s="38"/>
    </row>
    <row r="164" spans="1:8" ht="15.75">
      <c r="A164" s="38" t="s">
        <v>140</v>
      </c>
      <c r="B164" s="64" t="s">
        <v>52</v>
      </c>
      <c r="C164" s="64"/>
      <c r="D164" s="64"/>
      <c r="E164" s="64"/>
      <c r="F164" s="64"/>
      <c r="G164" s="268">
        <f>SUM(G154:G163)</f>
        <v>1441.79368</v>
      </c>
      <c r="H164" s="64" t="s">
        <v>79</v>
      </c>
    </row>
    <row r="179" spans="3:6" ht="15.75">
      <c r="C179" s="36" t="s">
        <v>68</v>
      </c>
      <c r="F179" s="36" t="s">
        <v>391</v>
      </c>
    </row>
  </sheetData>
  <mergeCells count="2">
    <mergeCell ref="B29:C29"/>
    <mergeCell ref="B128:C128"/>
  </mergeCells>
  <printOptions horizontalCentered="1"/>
  <pageMargins left="0.7874015748031497" right="0.3937007874015748" top="0.5905511811023623" bottom="0.3937007874015748" header="0" footer="0"/>
  <pageSetup horizontalDpi="300" verticalDpi="300" orientation="portrait" paperSize="9" r:id="rId1"/>
  <ignoredErrors>
    <ignoredError sqref="G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selection activeCell="A1" sqref="A1"/>
    </sheetView>
  </sheetViews>
  <sheetFormatPr defaultColWidth="8.88671875" defaultRowHeight="15"/>
  <cols>
    <col min="1" max="1" width="3.3359375" style="1" customWidth="1"/>
    <col min="2" max="2" width="5.3359375" style="1" customWidth="1"/>
    <col min="3" max="3" width="11.3359375" style="1" customWidth="1"/>
    <col min="4" max="5" width="8.88671875" style="1" customWidth="1"/>
    <col min="6" max="6" width="17.88671875" style="1" customWidth="1"/>
    <col min="7" max="7" width="9.6640625" style="1" customWidth="1"/>
    <col min="8" max="8" width="3.3359375" style="1" customWidth="1"/>
    <col min="9" max="16384" width="8.88671875" style="1" customWidth="1"/>
  </cols>
  <sheetData>
    <row r="1" spans="1:7" s="23" customFormat="1" ht="15" customHeight="1">
      <c r="A1" s="36"/>
      <c r="B1" s="460" t="s">
        <v>314</v>
      </c>
      <c r="C1" s="464"/>
      <c r="D1" s="464"/>
      <c r="E1" s="464"/>
      <c r="F1" s="464"/>
      <c r="G1" s="464"/>
    </row>
    <row r="2" spans="1:7" s="23" customFormat="1" ht="15" customHeight="1">
      <c r="A2" s="36"/>
      <c r="B2" s="460" t="s">
        <v>317</v>
      </c>
      <c r="C2" s="464"/>
      <c r="D2" s="464"/>
      <c r="E2" s="464"/>
      <c r="F2" s="464"/>
      <c r="G2" s="464"/>
    </row>
    <row r="3" spans="1:7" s="23" customFormat="1" ht="15" customHeight="1">
      <c r="A3" s="36"/>
      <c r="B3" s="460" t="s">
        <v>326</v>
      </c>
      <c r="C3" s="464"/>
      <c r="D3" s="464"/>
      <c r="E3" s="464"/>
      <c r="F3" s="464"/>
      <c r="G3" s="464"/>
    </row>
    <row r="4" spans="1:7" s="23" customFormat="1" ht="12.75" customHeight="1">
      <c r="A4" s="36"/>
      <c r="B4" s="36"/>
      <c r="C4" s="64"/>
      <c r="D4" s="64"/>
      <c r="E4" s="64"/>
      <c r="F4" s="36"/>
      <c r="G4" s="36"/>
    </row>
    <row r="5" spans="1:7" s="23" customFormat="1" ht="12.75" customHeight="1">
      <c r="A5" s="36"/>
      <c r="B5" s="36"/>
      <c r="C5" s="36"/>
      <c r="D5" s="36"/>
      <c r="E5" s="36"/>
      <c r="F5" s="36"/>
      <c r="G5" s="113" t="s">
        <v>62</v>
      </c>
    </row>
    <row r="6" spans="1:7" s="23" customFormat="1" ht="12.75">
      <c r="A6" s="113" t="s">
        <v>133</v>
      </c>
      <c r="B6" s="114" t="s">
        <v>134</v>
      </c>
      <c r="G6" s="115">
        <f>277.5+27.75+28</f>
        <v>333.25</v>
      </c>
    </row>
    <row r="7" spans="1:2" s="23" customFormat="1" ht="12.75">
      <c r="A7" s="116"/>
      <c r="B7" s="23" t="s">
        <v>135</v>
      </c>
    </row>
    <row r="8" spans="1:2" s="23" customFormat="1" ht="12.75">
      <c r="A8" s="116"/>
      <c r="B8" s="23" t="s">
        <v>63</v>
      </c>
    </row>
    <row r="9" spans="1:2" s="23" customFormat="1" ht="12.75">
      <c r="A9" s="116"/>
      <c r="B9" s="23" t="s">
        <v>536</v>
      </c>
    </row>
    <row r="10" spans="1:2" s="23" customFormat="1" ht="12.75">
      <c r="A10" s="116"/>
      <c r="B10" s="23" t="s">
        <v>318</v>
      </c>
    </row>
    <row r="11" spans="1:2" s="23" customFormat="1" ht="12.75">
      <c r="A11" s="116"/>
      <c r="B11" s="23" t="s">
        <v>474</v>
      </c>
    </row>
    <row r="12" spans="1:2" s="23" customFormat="1" ht="12.75">
      <c r="A12" s="116"/>
      <c r="B12" s="23" t="s">
        <v>319</v>
      </c>
    </row>
    <row r="13" spans="1:2" s="23" customFormat="1" ht="12.75">
      <c r="A13" s="116"/>
      <c r="B13" s="23" t="s">
        <v>476</v>
      </c>
    </row>
    <row r="14" spans="1:2" s="23" customFormat="1" ht="12.75">
      <c r="A14" s="116"/>
      <c r="B14" s="23" t="s">
        <v>477</v>
      </c>
    </row>
    <row r="15" s="23" customFormat="1" ht="7.5" customHeight="1">
      <c r="A15" s="116"/>
    </row>
    <row r="16" spans="1:7" s="36" customFormat="1" ht="12.75" customHeight="1">
      <c r="A16" s="116"/>
      <c r="B16" s="117" t="s">
        <v>158</v>
      </c>
      <c r="C16" s="23"/>
      <c r="D16" s="23"/>
      <c r="E16" s="23"/>
      <c r="F16" s="23"/>
      <c r="G16" s="23"/>
    </row>
    <row r="17" spans="1:7" s="36" customFormat="1" ht="12.75" customHeight="1">
      <c r="A17" s="116"/>
      <c r="B17" s="23" t="s">
        <v>64</v>
      </c>
      <c r="C17" s="23"/>
      <c r="D17" s="23" t="s">
        <v>475</v>
      </c>
      <c r="E17" s="23"/>
      <c r="F17" s="23"/>
      <c r="G17" s="23"/>
    </row>
    <row r="18" spans="1:7" s="36" customFormat="1" ht="12.75" customHeight="1">
      <c r="A18" s="116"/>
      <c r="B18" s="23"/>
      <c r="C18" s="23"/>
      <c r="D18" s="23" t="s">
        <v>478</v>
      </c>
      <c r="E18" s="23"/>
      <c r="F18" s="23"/>
      <c r="G18" s="23"/>
    </row>
    <row r="19" s="23" customFormat="1" ht="12.75">
      <c r="A19" s="116"/>
    </row>
    <row r="20" spans="1:7" s="23" customFormat="1" ht="12.75" hidden="1">
      <c r="A20" s="113" t="s">
        <v>136</v>
      </c>
      <c r="B20" s="114" t="s">
        <v>315</v>
      </c>
      <c r="G20" s="118">
        <f>((480+300)/2)/166*8*0</f>
        <v>0</v>
      </c>
    </row>
    <row r="21" s="23" customFormat="1" ht="12.75" hidden="1">
      <c r="A21" s="116"/>
    </row>
    <row r="22" spans="1:7" s="23" customFormat="1" ht="12.75">
      <c r="A22" s="113" t="s">
        <v>136</v>
      </c>
      <c r="B22" s="114" t="s">
        <v>138</v>
      </c>
      <c r="G22" s="118">
        <f>D28</f>
        <v>84.43</v>
      </c>
    </row>
    <row r="23" spans="1:2" s="23" customFormat="1" ht="12.75">
      <c r="A23" s="116"/>
      <c r="B23" s="23" t="s">
        <v>480</v>
      </c>
    </row>
    <row r="24" spans="1:2" s="23" customFormat="1" ht="12.75">
      <c r="A24" s="116"/>
      <c r="B24" s="23" t="s">
        <v>481</v>
      </c>
    </row>
    <row r="25" spans="1:2" s="23" customFormat="1" ht="12.75">
      <c r="A25" s="116"/>
      <c r="B25" s="23" t="s">
        <v>482</v>
      </c>
    </row>
    <row r="26" spans="1:2" s="23" customFormat="1" ht="12.75">
      <c r="A26" s="116"/>
      <c r="B26" s="23" t="s">
        <v>483</v>
      </c>
    </row>
    <row r="27" spans="1:2" s="23" customFormat="1" ht="12.75">
      <c r="A27" s="116"/>
      <c r="B27" s="23" t="s">
        <v>484</v>
      </c>
    </row>
    <row r="28" spans="1:5" s="23" customFormat="1" ht="12.75" customHeight="1">
      <c r="A28" s="116"/>
      <c r="B28" s="36"/>
      <c r="C28" s="116" t="s">
        <v>255</v>
      </c>
      <c r="D28" s="438">
        <v>84.43</v>
      </c>
      <c r="E28" s="23" t="s">
        <v>159</v>
      </c>
    </row>
    <row r="29" s="23" customFormat="1" ht="12.75">
      <c r="A29" s="116"/>
    </row>
    <row r="30" spans="1:7" s="23" customFormat="1" ht="12.75">
      <c r="A30" s="113" t="s">
        <v>137</v>
      </c>
      <c r="B30" s="114" t="s">
        <v>401</v>
      </c>
      <c r="G30" s="118">
        <f>G22*14.2%</f>
        <v>11.98906</v>
      </c>
    </row>
    <row r="31" spans="1:7" s="23" customFormat="1" ht="12.75">
      <c r="A31" s="113"/>
      <c r="G31" s="114"/>
    </row>
    <row r="32" spans="1:7" s="23" customFormat="1" ht="12.75">
      <c r="A32" s="113" t="s">
        <v>139</v>
      </c>
      <c r="B32" s="114" t="s">
        <v>71</v>
      </c>
      <c r="G32" s="114">
        <v>1.94</v>
      </c>
    </row>
    <row r="33" spans="2:3" s="23" customFormat="1" ht="12.75">
      <c r="B33" s="23" t="s">
        <v>485</v>
      </c>
      <c r="C33" s="439"/>
    </row>
    <row r="34" s="23" customFormat="1" ht="12.75"/>
    <row r="35" spans="1:7" s="23" customFormat="1" ht="12.75" hidden="1">
      <c r="A35" s="113" t="s">
        <v>141</v>
      </c>
      <c r="B35" s="114" t="s">
        <v>70</v>
      </c>
      <c r="G35" s="118"/>
    </row>
    <row r="36" s="23" customFormat="1" ht="12.75" hidden="1">
      <c r="B36" s="23" t="s">
        <v>316</v>
      </c>
    </row>
    <row r="37" s="23" customFormat="1" ht="12.75" hidden="1">
      <c r="B37" s="23" t="s">
        <v>400</v>
      </c>
    </row>
    <row r="38" s="23" customFormat="1" ht="12.75" hidden="1">
      <c r="B38" s="119" t="s">
        <v>327</v>
      </c>
    </row>
    <row r="39" s="23" customFormat="1" ht="12.75" hidden="1">
      <c r="B39" s="119"/>
    </row>
    <row r="40" spans="1:7" s="23" customFormat="1" ht="12.75">
      <c r="A40" s="113" t="s">
        <v>140</v>
      </c>
      <c r="B40" s="114" t="s">
        <v>349</v>
      </c>
      <c r="G40" s="118">
        <f>SUM(G6:G35)*30%</f>
        <v>129.482718</v>
      </c>
    </row>
    <row r="41" s="23" customFormat="1" ht="12.75">
      <c r="B41" s="23" t="s">
        <v>523</v>
      </c>
    </row>
    <row r="42" s="23" customFormat="1" ht="12.75"/>
    <row r="43" spans="1:7" s="23" customFormat="1" ht="12.75">
      <c r="A43" s="113" t="s">
        <v>141</v>
      </c>
      <c r="B43" s="114" t="s">
        <v>0</v>
      </c>
      <c r="G43" s="115">
        <f>SUM(G6:G40)</f>
        <v>561.091778</v>
      </c>
    </row>
    <row r="44" spans="1:7" s="23" customFormat="1" ht="12.75">
      <c r="A44" s="113"/>
      <c r="B44" s="114"/>
      <c r="G44" s="115"/>
    </row>
    <row r="45" spans="1:7" s="23" customFormat="1" ht="12.75">
      <c r="A45" s="113"/>
      <c r="B45" s="114"/>
      <c r="G45" s="115"/>
    </row>
    <row r="46" spans="1:7" s="28" customFormat="1" ht="15">
      <c r="A46" s="120"/>
      <c r="B46" s="120" t="s">
        <v>320</v>
      </c>
      <c r="C46" s="120"/>
      <c r="D46" s="120"/>
      <c r="E46" s="120"/>
      <c r="F46" s="120"/>
      <c r="G46" s="121">
        <f>G43/1.6*1</f>
        <v>350.68236125</v>
      </c>
    </row>
    <row r="47" spans="1:9" s="28" customFormat="1" ht="15" customHeight="1">
      <c r="A47" s="120"/>
      <c r="B47" s="120" t="s">
        <v>472</v>
      </c>
      <c r="C47" s="120"/>
      <c r="D47" s="120"/>
      <c r="E47" s="120"/>
      <c r="F47" s="120"/>
      <c r="G47" s="121">
        <f>G46*0.1</f>
        <v>35.068236125</v>
      </c>
      <c r="I47" s="28" t="s">
        <v>471</v>
      </c>
    </row>
    <row r="48" spans="1:9" s="28" customFormat="1" ht="15" customHeight="1">
      <c r="A48" s="120"/>
      <c r="B48" s="120"/>
      <c r="C48" s="120"/>
      <c r="D48" s="120"/>
      <c r="E48" s="120"/>
      <c r="F48" s="120"/>
      <c r="G48" s="121"/>
      <c r="I48" s="28" t="s">
        <v>473</v>
      </c>
    </row>
    <row r="49" spans="1:7" s="28" customFormat="1" ht="15" customHeight="1">
      <c r="A49" s="120"/>
      <c r="B49" s="120"/>
      <c r="C49" s="120"/>
      <c r="D49" s="120"/>
      <c r="E49" s="120"/>
      <c r="F49" s="120"/>
      <c r="G49" s="121"/>
    </row>
    <row r="50" spans="1:7" s="28" customFormat="1" ht="15" customHeight="1">
      <c r="A50" s="120"/>
      <c r="B50" s="120"/>
      <c r="C50" s="120"/>
      <c r="D50" s="120"/>
      <c r="E50" s="120"/>
      <c r="F50" s="120"/>
      <c r="G50" s="121"/>
    </row>
    <row r="51" spans="1:7" s="28" customFormat="1" ht="15" customHeight="1">
      <c r="A51" s="120"/>
      <c r="B51" s="120"/>
      <c r="C51" s="120"/>
      <c r="D51" s="120"/>
      <c r="E51" s="120"/>
      <c r="F51" s="120"/>
      <c r="G51" s="121"/>
    </row>
    <row r="52" s="23" customFormat="1" ht="15" customHeight="1"/>
    <row r="53" spans="3:6" s="23" customFormat="1" ht="15" customHeight="1">
      <c r="C53" s="36"/>
      <c r="D53" s="28" t="s">
        <v>68</v>
      </c>
      <c r="E53" s="28"/>
      <c r="F53" s="32"/>
    </row>
    <row r="54" spans="3:6" s="23" customFormat="1" ht="15" customHeight="1">
      <c r="C54" s="36"/>
      <c r="D54" s="28"/>
      <c r="E54" s="28"/>
      <c r="F54" s="32"/>
    </row>
    <row r="55" spans="3:6" s="23" customFormat="1" ht="15" customHeight="1">
      <c r="C55" s="36"/>
      <c r="D55" s="28"/>
      <c r="E55" s="28"/>
      <c r="F55" s="32"/>
    </row>
    <row r="56" spans="3:6" s="23" customFormat="1" ht="15" customHeight="1">
      <c r="C56" s="36"/>
      <c r="D56" s="28"/>
      <c r="E56" s="28"/>
      <c r="F56" s="32"/>
    </row>
    <row r="57" spans="3:6" s="23" customFormat="1" ht="15" customHeight="1">
      <c r="C57" s="36"/>
      <c r="D57" s="28"/>
      <c r="E57" s="28"/>
      <c r="F57" s="32"/>
    </row>
    <row r="58" spans="3:6" s="23" customFormat="1" ht="15" customHeight="1">
      <c r="C58" s="36"/>
      <c r="D58" s="28"/>
      <c r="E58" s="28"/>
      <c r="F58" s="32"/>
    </row>
    <row r="59" spans="3:6" s="23" customFormat="1" ht="15" customHeight="1">
      <c r="C59" s="36"/>
      <c r="D59" s="28"/>
      <c r="E59" s="28"/>
      <c r="F59" s="32"/>
    </row>
    <row r="60" spans="3:6" s="23" customFormat="1" ht="15" customHeight="1">
      <c r="C60" s="36"/>
      <c r="D60" s="28"/>
      <c r="E60" s="28"/>
      <c r="F60" s="32"/>
    </row>
    <row r="61" spans="3:6" s="23" customFormat="1" ht="15" customHeight="1">
      <c r="C61" s="36"/>
      <c r="D61" s="28"/>
      <c r="E61" s="28"/>
      <c r="F61" s="32"/>
    </row>
    <row r="62" spans="1:7" s="23" customFormat="1" ht="15" customHeight="1">
      <c r="A62" s="36"/>
      <c r="B62" s="460" t="s">
        <v>314</v>
      </c>
      <c r="C62" s="464"/>
      <c r="D62" s="464"/>
      <c r="E62" s="464"/>
      <c r="F62" s="464"/>
      <c r="G62" s="464"/>
    </row>
    <row r="63" spans="1:7" s="23" customFormat="1" ht="15" customHeight="1">
      <c r="A63" s="36"/>
      <c r="B63" s="460" t="s">
        <v>522</v>
      </c>
      <c r="C63" s="464"/>
      <c r="D63" s="464"/>
      <c r="E63" s="464"/>
      <c r="F63" s="464"/>
      <c r="G63" s="464"/>
    </row>
    <row r="64" spans="1:7" s="23" customFormat="1" ht="15" customHeight="1">
      <c r="A64" s="36"/>
      <c r="B64" s="460" t="s">
        <v>520</v>
      </c>
      <c r="C64" s="464"/>
      <c r="D64" s="464"/>
      <c r="E64" s="464"/>
      <c r="F64" s="464"/>
      <c r="G64" s="464"/>
    </row>
    <row r="65" spans="1:7" s="23" customFormat="1" ht="12.75" customHeight="1">
      <c r="A65" s="36"/>
      <c r="B65" s="36"/>
      <c r="C65" s="64"/>
      <c r="D65" s="64"/>
      <c r="E65" s="64"/>
      <c r="F65" s="36"/>
      <c r="G65" s="36"/>
    </row>
    <row r="66" spans="1:7" s="23" customFormat="1" ht="12.75" customHeight="1">
      <c r="A66" s="36"/>
      <c r="B66" s="36"/>
      <c r="C66" s="36"/>
      <c r="D66" s="36"/>
      <c r="E66" s="36"/>
      <c r="F66" s="36"/>
      <c r="G66" s="113" t="s">
        <v>62</v>
      </c>
    </row>
    <row r="67" spans="1:7" s="23" customFormat="1" ht="12.75">
      <c r="A67" s="113" t="s">
        <v>133</v>
      </c>
      <c r="B67" s="114" t="s">
        <v>134</v>
      </c>
      <c r="G67" s="115">
        <f>980.5+27.75+100</f>
        <v>1108.25</v>
      </c>
    </row>
    <row r="68" spans="1:2" s="23" customFormat="1" ht="12.75">
      <c r="A68" s="116"/>
      <c r="B68" s="23" t="s">
        <v>135</v>
      </c>
    </row>
    <row r="69" spans="1:2" s="23" customFormat="1" ht="12.75">
      <c r="A69" s="116"/>
      <c r="B69" s="23" t="s">
        <v>521</v>
      </c>
    </row>
    <row r="70" spans="1:2" s="23" customFormat="1" ht="12.75">
      <c r="A70" s="116"/>
      <c r="B70" s="23" t="s">
        <v>526</v>
      </c>
    </row>
    <row r="71" spans="1:2" s="23" customFormat="1" ht="12.75">
      <c r="A71" s="116"/>
      <c r="B71" s="23" t="s">
        <v>318</v>
      </c>
    </row>
    <row r="72" spans="1:2" s="23" customFormat="1" ht="12.75">
      <c r="A72" s="116"/>
      <c r="B72" s="23" t="s">
        <v>527</v>
      </c>
    </row>
    <row r="73" spans="1:2" s="23" customFormat="1" ht="12.75">
      <c r="A73" s="116"/>
      <c r="B73" s="23" t="s">
        <v>319</v>
      </c>
    </row>
    <row r="74" spans="1:2" s="23" customFormat="1" ht="12.75">
      <c r="A74" s="116"/>
      <c r="B74" s="23" t="s">
        <v>530</v>
      </c>
    </row>
    <row r="75" spans="1:2" s="23" customFormat="1" ht="12.75">
      <c r="A75" s="116"/>
      <c r="B75" s="23" t="s">
        <v>477</v>
      </c>
    </row>
    <row r="76" s="23" customFormat="1" ht="7.5" customHeight="1">
      <c r="A76" s="116"/>
    </row>
    <row r="77" spans="1:7" s="36" customFormat="1" ht="12.75" customHeight="1">
      <c r="A77" s="116"/>
      <c r="B77" s="117" t="s">
        <v>158</v>
      </c>
      <c r="C77" s="23"/>
      <c r="D77" s="23"/>
      <c r="E77" s="23"/>
      <c r="F77" s="23"/>
      <c r="G77" s="23"/>
    </row>
    <row r="78" spans="1:7" s="36" customFormat="1" ht="12.75" customHeight="1">
      <c r="A78" s="116"/>
      <c r="B78" s="23" t="s">
        <v>64</v>
      </c>
      <c r="C78" s="23"/>
      <c r="D78" s="23" t="s">
        <v>528</v>
      </c>
      <c r="E78" s="23"/>
      <c r="F78" s="23"/>
      <c r="G78" s="23"/>
    </row>
    <row r="79" spans="1:7" s="36" customFormat="1" ht="12.75" customHeight="1">
      <c r="A79" s="116"/>
      <c r="B79" s="23"/>
      <c r="C79" s="23"/>
      <c r="D79" s="23" t="s">
        <v>529</v>
      </c>
      <c r="E79" s="23"/>
      <c r="F79" s="23"/>
      <c r="G79" s="23"/>
    </row>
    <row r="80" s="23" customFormat="1" ht="12.75">
      <c r="A80" s="116"/>
    </row>
    <row r="81" spans="1:7" s="23" customFormat="1" ht="12.75">
      <c r="A81" s="113" t="s">
        <v>136</v>
      </c>
      <c r="B81" s="114" t="s">
        <v>138</v>
      </c>
      <c r="G81" s="118">
        <f>D87</f>
        <v>422.14</v>
      </c>
    </row>
    <row r="82" spans="1:2" s="23" customFormat="1" ht="12.75">
      <c r="A82" s="116"/>
      <c r="B82" s="23" t="s">
        <v>480</v>
      </c>
    </row>
    <row r="83" spans="1:2" s="23" customFormat="1" ht="12.75">
      <c r="A83" s="116"/>
      <c r="B83" s="23" t="s">
        <v>481</v>
      </c>
    </row>
    <row r="84" spans="1:2" s="23" customFormat="1" ht="12.75">
      <c r="A84" s="116"/>
      <c r="B84" s="23" t="s">
        <v>531</v>
      </c>
    </row>
    <row r="85" spans="1:2" s="23" customFormat="1" ht="12.75">
      <c r="A85" s="116"/>
      <c r="B85" s="23" t="s">
        <v>532</v>
      </c>
    </row>
    <row r="86" spans="1:2" s="23" customFormat="1" ht="12.75">
      <c r="A86" s="116"/>
      <c r="B86" s="23" t="s">
        <v>533</v>
      </c>
    </row>
    <row r="87" spans="1:5" s="23" customFormat="1" ht="12.75" customHeight="1">
      <c r="A87" s="116"/>
      <c r="B87" s="36"/>
      <c r="C87" s="116" t="s">
        <v>255</v>
      </c>
      <c r="D87" s="438">
        <v>422.14</v>
      </c>
      <c r="E87" s="23" t="s">
        <v>159</v>
      </c>
    </row>
    <row r="88" s="23" customFormat="1" ht="12.75">
      <c r="A88" s="116"/>
    </row>
    <row r="89" spans="1:7" s="23" customFormat="1" ht="12.75">
      <c r="A89" s="113" t="s">
        <v>137</v>
      </c>
      <c r="B89" s="114" t="s">
        <v>401</v>
      </c>
      <c r="G89" s="118">
        <f>G81*14.2%</f>
        <v>59.94387999999999</v>
      </c>
    </row>
    <row r="90" spans="1:7" s="23" customFormat="1" ht="12.75">
      <c r="A90" s="113"/>
      <c r="G90" s="114"/>
    </row>
    <row r="91" spans="1:7" s="23" customFormat="1" ht="12.75">
      <c r="A91" s="113" t="s">
        <v>139</v>
      </c>
      <c r="B91" s="114" t="s">
        <v>71</v>
      </c>
      <c r="G91" s="114">
        <v>9.71</v>
      </c>
    </row>
    <row r="92" spans="2:3" s="23" customFormat="1" ht="12.75">
      <c r="B92" s="23" t="s">
        <v>534</v>
      </c>
      <c r="C92" s="439"/>
    </row>
    <row r="93" s="23" customFormat="1" ht="12.75"/>
    <row r="94" spans="1:7" s="23" customFormat="1" ht="12.75">
      <c r="A94" s="113" t="s">
        <v>140</v>
      </c>
      <c r="B94" s="114" t="s">
        <v>349</v>
      </c>
      <c r="G94" s="118">
        <f>SUM(G60:G89)*30%</f>
        <v>477.10016399999995</v>
      </c>
    </row>
    <row r="95" s="23" customFormat="1" ht="12.75">
      <c r="B95" s="23" t="s">
        <v>523</v>
      </c>
    </row>
    <row r="96" s="23" customFormat="1" ht="12.75"/>
    <row r="97" spans="1:7" s="23" customFormat="1" ht="12.75">
      <c r="A97" s="113" t="s">
        <v>141</v>
      </c>
      <c r="B97" s="114" t="s">
        <v>0</v>
      </c>
      <c r="G97" s="115">
        <f>SUM(G60:G94)</f>
        <v>2077.1440439999997</v>
      </c>
    </row>
    <row r="98" spans="1:7" s="23" customFormat="1" ht="12.75">
      <c r="A98" s="113"/>
      <c r="B98" s="114"/>
      <c r="G98" s="115"/>
    </row>
    <row r="99" spans="1:7" s="23" customFormat="1" ht="12.75">
      <c r="A99" s="113"/>
      <c r="B99" s="114"/>
      <c r="G99" s="115"/>
    </row>
    <row r="100" spans="1:9" s="28" customFormat="1" ht="15">
      <c r="A100" s="120"/>
      <c r="B100" s="120" t="s">
        <v>320</v>
      </c>
      <c r="C100" s="120"/>
      <c r="D100" s="120"/>
      <c r="E100" s="120"/>
      <c r="F100" s="120"/>
      <c r="G100" s="442">
        <f>G97/8</f>
        <v>259.64300549999996</v>
      </c>
      <c r="I100" s="28" t="s">
        <v>524</v>
      </c>
    </row>
    <row r="101" spans="1:9" s="28" customFormat="1" ht="15" customHeight="1">
      <c r="A101" s="120"/>
      <c r="B101" s="120" t="s">
        <v>535</v>
      </c>
      <c r="C101" s="120"/>
      <c r="D101" s="120"/>
      <c r="E101" s="120"/>
      <c r="F101" s="120"/>
      <c r="G101" s="121">
        <f>G100*0.17</f>
        <v>44.139310935</v>
      </c>
      <c r="I101" s="28" t="s">
        <v>525</v>
      </c>
    </row>
    <row r="102" spans="1:7" s="28" customFormat="1" ht="15" customHeight="1">
      <c r="A102" s="120"/>
      <c r="B102" s="120"/>
      <c r="C102" s="120"/>
      <c r="D102" s="120"/>
      <c r="E102" s="120"/>
      <c r="F102" s="120"/>
      <c r="G102" s="121"/>
    </row>
    <row r="103" spans="1:7" s="28" customFormat="1" ht="15" customHeight="1">
      <c r="A103" s="120"/>
      <c r="B103" s="120"/>
      <c r="C103" s="120"/>
      <c r="D103" s="120"/>
      <c r="E103" s="120"/>
      <c r="F103" s="120"/>
      <c r="G103" s="121"/>
    </row>
    <row r="104" spans="1:7" s="28" customFormat="1" ht="15" customHeight="1">
      <c r="A104" s="120"/>
      <c r="B104" s="120"/>
      <c r="C104" s="120"/>
      <c r="D104" s="120"/>
      <c r="E104" s="120"/>
      <c r="F104" s="120"/>
      <c r="G104" s="121"/>
    </row>
    <row r="105" spans="1:7" s="28" customFormat="1" ht="15" customHeight="1">
      <c r="A105" s="120"/>
      <c r="B105" s="120"/>
      <c r="C105" s="120"/>
      <c r="D105" s="120"/>
      <c r="E105" s="120"/>
      <c r="F105" s="120"/>
      <c r="G105" s="121"/>
    </row>
    <row r="106" spans="1:7" s="28" customFormat="1" ht="15" customHeight="1">
      <c r="A106" s="120"/>
      <c r="B106" s="120"/>
      <c r="C106" s="120"/>
      <c r="D106" s="120"/>
      <c r="E106" s="120"/>
      <c r="F106" s="120"/>
      <c r="G106" s="121"/>
    </row>
    <row r="107" s="23" customFormat="1" ht="15" customHeight="1"/>
    <row r="108" spans="3:6" s="23" customFormat="1" ht="15" customHeight="1">
      <c r="C108" s="36"/>
      <c r="D108" s="28" t="s">
        <v>68</v>
      </c>
      <c r="E108" s="28"/>
      <c r="F108" s="32"/>
    </row>
    <row r="109" spans="3:6" s="23" customFormat="1" ht="15" customHeight="1">
      <c r="C109" s="36"/>
      <c r="D109" s="28"/>
      <c r="E109" s="28"/>
      <c r="F109" s="32"/>
    </row>
    <row r="110" spans="3:6" s="23" customFormat="1" ht="15" customHeight="1">
      <c r="C110" s="36"/>
      <c r="D110" s="28"/>
      <c r="E110" s="28"/>
      <c r="F110" s="32"/>
    </row>
    <row r="111" spans="3:6" s="23" customFormat="1" ht="15" customHeight="1">
      <c r="C111" s="36"/>
      <c r="D111" s="28"/>
      <c r="E111" s="28"/>
      <c r="F111" s="32"/>
    </row>
    <row r="112" spans="3:6" s="23" customFormat="1" ht="15" customHeight="1">
      <c r="C112" s="36"/>
      <c r="D112" s="28"/>
      <c r="E112" s="28"/>
      <c r="F112" s="32"/>
    </row>
    <row r="113" spans="3:6" s="23" customFormat="1" ht="15" customHeight="1">
      <c r="C113" s="36"/>
      <c r="D113" s="28"/>
      <c r="E113" s="28"/>
      <c r="F113" s="32"/>
    </row>
    <row r="114" ht="15" customHeight="1"/>
    <row r="115" spans="1:8" ht="15" customHeight="1">
      <c r="A115" s="357"/>
      <c r="B115" s="357"/>
      <c r="C115" s="357"/>
      <c r="D115" s="357"/>
      <c r="E115" s="357"/>
      <c r="F115" s="357"/>
      <c r="G115" s="357"/>
      <c r="H115" s="357"/>
    </row>
    <row r="116" spans="1:7" s="23" customFormat="1" ht="15" customHeight="1">
      <c r="A116" s="36"/>
      <c r="B116" s="460" t="s">
        <v>314</v>
      </c>
      <c r="C116" s="464"/>
      <c r="D116" s="464"/>
      <c r="E116" s="464"/>
      <c r="F116" s="464"/>
      <c r="G116" s="464"/>
    </row>
    <row r="117" spans="1:7" s="23" customFormat="1" ht="15" customHeight="1">
      <c r="A117" s="36"/>
      <c r="B117" s="460" t="s">
        <v>317</v>
      </c>
      <c r="C117" s="464"/>
      <c r="D117" s="464"/>
      <c r="E117" s="464"/>
      <c r="F117" s="464"/>
      <c r="G117" s="464"/>
    </row>
    <row r="118" spans="1:7" s="23" customFormat="1" ht="15" customHeight="1">
      <c r="A118" s="36"/>
      <c r="B118" s="460" t="s">
        <v>402</v>
      </c>
      <c r="C118" s="464"/>
      <c r="D118" s="464"/>
      <c r="E118" s="464"/>
      <c r="F118" s="464"/>
      <c r="G118" s="464"/>
    </row>
    <row r="119" spans="1:7" s="23" customFormat="1" ht="12.75" customHeight="1">
      <c r="A119" s="36"/>
      <c r="B119" s="36"/>
      <c r="C119" s="64"/>
      <c r="D119" s="64"/>
      <c r="E119" s="64"/>
      <c r="F119" s="36"/>
      <c r="G119" s="36"/>
    </row>
    <row r="120" spans="1:7" s="23" customFormat="1" ht="12.75" customHeight="1">
      <c r="A120" s="36"/>
      <c r="B120" s="36"/>
      <c r="C120" s="36"/>
      <c r="D120" s="36"/>
      <c r="E120" s="36"/>
      <c r="F120" s="36"/>
      <c r="G120" s="113" t="s">
        <v>62</v>
      </c>
    </row>
    <row r="121" spans="1:7" s="23" customFormat="1" ht="12.75">
      <c r="A121" s="113" t="s">
        <v>133</v>
      </c>
      <c r="B121" s="114" t="s">
        <v>134</v>
      </c>
      <c r="G121" s="115">
        <f>292.5+29.25+29.4</f>
        <v>351.15</v>
      </c>
    </row>
    <row r="122" spans="1:2" s="23" customFormat="1" ht="12.75">
      <c r="A122" s="116"/>
      <c r="B122" s="23" t="s">
        <v>135</v>
      </c>
    </row>
    <row r="123" spans="1:2" s="23" customFormat="1" ht="12.75">
      <c r="A123" s="116"/>
      <c r="B123" s="23" t="s">
        <v>63</v>
      </c>
    </row>
    <row r="124" spans="1:2" s="23" customFormat="1" ht="12.75">
      <c r="A124" s="116"/>
      <c r="B124" s="23" t="s">
        <v>536</v>
      </c>
    </row>
    <row r="125" spans="1:2" s="23" customFormat="1" ht="12.75">
      <c r="A125" s="116"/>
      <c r="B125" s="23" t="s">
        <v>318</v>
      </c>
    </row>
    <row r="126" spans="1:2" s="23" customFormat="1" ht="12.75">
      <c r="A126" s="116"/>
      <c r="B126" s="23" t="s">
        <v>474</v>
      </c>
    </row>
    <row r="127" spans="1:2" s="23" customFormat="1" ht="12.75">
      <c r="A127" s="116"/>
      <c r="B127" s="23" t="s">
        <v>319</v>
      </c>
    </row>
    <row r="128" spans="1:2" s="23" customFormat="1" ht="12.75">
      <c r="A128" s="116"/>
      <c r="B128" s="23" t="s">
        <v>546</v>
      </c>
    </row>
    <row r="129" spans="1:2" s="23" customFormat="1" ht="12.75">
      <c r="A129" s="116"/>
      <c r="B129" s="23" t="s">
        <v>547</v>
      </c>
    </row>
    <row r="130" s="23" customFormat="1" ht="7.5" customHeight="1">
      <c r="A130" s="116"/>
    </row>
    <row r="131" spans="1:7" s="36" customFormat="1" ht="12.75" customHeight="1">
      <c r="A131" s="116"/>
      <c r="B131" s="117" t="s">
        <v>158</v>
      </c>
      <c r="C131" s="23"/>
      <c r="D131" s="23"/>
      <c r="E131" s="23"/>
      <c r="F131" s="23"/>
      <c r="G131" s="23"/>
    </row>
    <row r="132" spans="1:7" s="36" customFormat="1" ht="12.75" customHeight="1">
      <c r="A132" s="116"/>
      <c r="B132" s="23" t="s">
        <v>64</v>
      </c>
      <c r="C132" s="23"/>
      <c r="D132" s="23" t="s">
        <v>475</v>
      </c>
      <c r="E132" s="23"/>
      <c r="F132" s="23"/>
      <c r="G132" s="23"/>
    </row>
    <row r="133" spans="1:7" s="36" customFormat="1" ht="12.75" customHeight="1">
      <c r="A133" s="116"/>
      <c r="B133" s="23"/>
      <c r="C133" s="23"/>
      <c r="D133" s="23" t="s">
        <v>479</v>
      </c>
      <c r="E133" s="23"/>
      <c r="F133" s="23"/>
      <c r="G133" s="23"/>
    </row>
    <row r="134" s="23" customFormat="1" ht="12.75">
      <c r="A134" s="116"/>
    </row>
    <row r="135" spans="1:7" s="23" customFormat="1" ht="12.75" hidden="1">
      <c r="A135" s="113" t="s">
        <v>136</v>
      </c>
      <c r="B135" s="114" t="s">
        <v>315</v>
      </c>
      <c r="G135" s="118"/>
    </row>
    <row r="136" s="23" customFormat="1" ht="12.75" hidden="1">
      <c r="A136" s="116"/>
    </row>
    <row r="137" spans="1:7" s="23" customFormat="1" ht="12.75">
      <c r="A137" s="113" t="s">
        <v>136</v>
      </c>
      <c r="B137" s="114" t="s">
        <v>138</v>
      </c>
      <c r="G137" s="115">
        <f>D143</f>
        <v>149.36</v>
      </c>
    </row>
    <row r="138" spans="1:2" s="23" customFormat="1" ht="12.75">
      <c r="A138" s="116"/>
      <c r="B138" s="23" t="s">
        <v>537</v>
      </c>
    </row>
    <row r="139" spans="1:2" s="23" customFormat="1" ht="12.75">
      <c r="A139" s="116"/>
      <c r="B139" s="23" t="s">
        <v>538</v>
      </c>
    </row>
    <row r="140" spans="1:2" s="23" customFormat="1" ht="12.75">
      <c r="A140" s="116"/>
      <c r="B140" s="23" t="s">
        <v>539</v>
      </c>
    </row>
    <row r="141" spans="1:2" s="23" customFormat="1" ht="12.75">
      <c r="A141" s="116"/>
      <c r="B141" s="23" t="s">
        <v>540</v>
      </c>
    </row>
    <row r="142" spans="1:2" s="23" customFormat="1" ht="12.75">
      <c r="A142" s="116"/>
      <c r="B142" s="23" t="s">
        <v>541</v>
      </c>
    </row>
    <row r="143" spans="1:5" s="23" customFormat="1" ht="12.75" customHeight="1">
      <c r="A143" s="116"/>
      <c r="B143" s="36"/>
      <c r="C143" s="116" t="s">
        <v>255</v>
      </c>
      <c r="D143" s="438">
        <v>149.36</v>
      </c>
      <c r="E143" s="23" t="s">
        <v>159</v>
      </c>
    </row>
    <row r="144" s="23" customFormat="1" ht="12.75">
      <c r="A144" s="116"/>
    </row>
    <row r="145" spans="1:7" s="23" customFormat="1" ht="12.75">
      <c r="A145" s="113" t="s">
        <v>139</v>
      </c>
      <c r="B145" s="114" t="s">
        <v>470</v>
      </c>
      <c r="G145" s="118">
        <f>G137*34.2%</f>
        <v>51.081120000000006</v>
      </c>
    </row>
    <row r="146" spans="1:7" s="23" customFormat="1" ht="12.75">
      <c r="A146" s="113"/>
      <c r="G146" s="114"/>
    </row>
    <row r="147" spans="1:7" s="23" customFormat="1" ht="12.75">
      <c r="A147" s="113" t="s">
        <v>140</v>
      </c>
      <c r="B147" s="114" t="s">
        <v>71</v>
      </c>
      <c r="G147" s="114">
        <v>1.95</v>
      </c>
    </row>
    <row r="148" spans="2:5" s="23" customFormat="1" ht="12.75">
      <c r="B148" s="439" t="s">
        <v>549</v>
      </c>
      <c r="C148" s="439"/>
      <c r="D148" s="439"/>
      <c r="E148" s="439"/>
    </row>
    <row r="149" s="23" customFormat="1" ht="12.75"/>
    <row r="150" spans="1:7" s="23" customFormat="1" ht="12.75">
      <c r="A150" s="113" t="s">
        <v>142</v>
      </c>
      <c r="B150" s="114" t="s">
        <v>349</v>
      </c>
      <c r="G150" s="118">
        <f>SUM(G121:G149)*30%</f>
        <v>166.06233600000002</v>
      </c>
    </row>
    <row r="151" s="23" customFormat="1" ht="12.75">
      <c r="B151" s="23" t="s">
        <v>523</v>
      </c>
    </row>
    <row r="152" s="23" customFormat="1" ht="12.75"/>
    <row r="153" spans="1:7" s="23" customFormat="1" ht="12.75">
      <c r="A153" s="113" t="s">
        <v>53</v>
      </c>
      <c r="B153" s="114" t="s">
        <v>0</v>
      </c>
      <c r="G153" s="115">
        <f>SUM(G121:G150)</f>
        <v>719.603456</v>
      </c>
    </row>
    <row r="154" spans="1:7" s="23" customFormat="1" ht="12.75">
      <c r="A154" s="113"/>
      <c r="B154" s="114"/>
      <c r="G154" s="115"/>
    </row>
    <row r="155" spans="1:7" s="23" customFormat="1" ht="12.75">
      <c r="A155" s="113"/>
      <c r="B155" s="114"/>
      <c r="G155" s="115"/>
    </row>
    <row r="156" spans="1:7" s="28" customFormat="1" ht="15">
      <c r="A156" s="120"/>
      <c r="B156" s="120" t="s">
        <v>320</v>
      </c>
      <c r="C156" s="120"/>
      <c r="D156" s="120"/>
      <c r="E156" s="120"/>
      <c r="F156" s="120"/>
      <c r="G156" s="121">
        <f>G153/1.6*1</f>
        <v>449.75216</v>
      </c>
    </row>
    <row r="157" spans="1:7" s="28" customFormat="1" ht="15" customHeight="1">
      <c r="A157" s="120"/>
      <c r="B157" s="120" t="s">
        <v>472</v>
      </c>
      <c r="C157" s="120"/>
      <c r="D157" s="120"/>
      <c r="E157" s="120"/>
      <c r="F157" s="120"/>
      <c r="G157" s="121">
        <f>G156*0.1</f>
        <v>44.975216</v>
      </c>
    </row>
    <row r="158" spans="1:7" s="28" customFormat="1" ht="15" customHeight="1">
      <c r="A158" s="120"/>
      <c r="B158" s="120"/>
      <c r="C158" s="120"/>
      <c r="D158" s="120"/>
      <c r="E158" s="120"/>
      <c r="F158" s="120"/>
      <c r="G158" s="121"/>
    </row>
    <row r="159" spans="1:7" s="28" customFormat="1" ht="15" customHeight="1">
      <c r="A159" s="120"/>
      <c r="B159" s="120"/>
      <c r="C159" s="120"/>
      <c r="D159" s="120"/>
      <c r="E159" s="120"/>
      <c r="F159" s="120"/>
      <c r="G159" s="121"/>
    </row>
    <row r="160" spans="1:10" s="28" customFormat="1" ht="15" customHeight="1">
      <c r="A160" s="120"/>
      <c r="B160" s="120"/>
      <c r="C160" s="120"/>
      <c r="D160" s="120"/>
      <c r="E160" s="120"/>
      <c r="F160" s="120"/>
      <c r="G160" s="121"/>
      <c r="J160" s="280"/>
    </row>
    <row r="161" spans="1:7" s="28" customFormat="1" ht="15" customHeight="1">
      <c r="A161" s="120"/>
      <c r="B161" s="120"/>
      <c r="C161" s="120"/>
      <c r="D161" s="120"/>
      <c r="E161" s="120"/>
      <c r="F161" s="120"/>
      <c r="G161" s="121"/>
    </row>
    <row r="162" s="23" customFormat="1" ht="15" customHeight="1"/>
    <row r="163" spans="3:6" s="23" customFormat="1" ht="15.75" customHeight="1">
      <c r="C163" s="36"/>
      <c r="D163" s="28" t="s">
        <v>68</v>
      </c>
      <c r="E163" s="28"/>
      <c r="F163" s="32"/>
    </row>
    <row r="172" spans="1:7" s="23" customFormat="1" ht="15" customHeight="1">
      <c r="A172" s="36"/>
      <c r="B172" s="460" t="s">
        <v>314</v>
      </c>
      <c r="C172" s="464"/>
      <c r="D172" s="464"/>
      <c r="E172" s="464"/>
      <c r="F172" s="464"/>
      <c r="G172" s="464"/>
    </row>
    <row r="173" spans="1:7" s="23" customFormat="1" ht="15" customHeight="1">
      <c r="A173" s="36"/>
      <c r="B173" s="460" t="s">
        <v>522</v>
      </c>
      <c r="C173" s="464"/>
      <c r="D173" s="464"/>
      <c r="E173" s="464"/>
      <c r="F173" s="464"/>
      <c r="G173" s="464"/>
    </row>
    <row r="174" spans="1:7" s="23" customFormat="1" ht="15" customHeight="1">
      <c r="A174" s="36"/>
      <c r="B174" s="460" t="s">
        <v>542</v>
      </c>
      <c r="C174" s="464"/>
      <c r="D174" s="464"/>
      <c r="E174" s="464"/>
      <c r="F174" s="464"/>
      <c r="G174" s="464"/>
    </row>
    <row r="175" spans="1:7" s="23" customFormat="1" ht="12.75" customHeight="1">
      <c r="A175" s="36"/>
      <c r="B175" s="36"/>
      <c r="C175" s="64"/>
      <c r="D175" s="64"/>
      <c r="E175" s="64"/>
      <c r="F175" s="36"/>
      <c r="G175" s="36"/>
    </row>
    <row r="176" spans="1:7" s="23" customFormat="1" ht="12.75" customHeight="1">
      <c r="A176" s="36"/>
      <c r="B176" s="36"/>
      <c r="C176" s="36"/>
      <c r="D176" s="36"/>
      <c r="E176" s="36"/>
      <c r="F176" s="36"/>
      <c r="G176" s="113" t="s">
        <v>62</v>
      </c>
    </row>
    <row r="177" spans="1:7" s="23" customFormat="1" ht="12.75">
      <c r="A177" s="113" t="s">
        <v>133</v>
      </c>
      <c r="B177" s="114" t="s">
        <v>134</v>
      </c>
      <c r="G177" s="115">
        <f>1033.5+29.25+100</f>
        <v>1162.75</v>
      </c>
    </row>
    <row r="178" spans="1:2" s="23" customFormat="1" ht="12.75">
      <c r="A178" s="116"/>
      <c r="B178" s="23" t="s">
        <v>135</v>
      </c>
    </row>
    <row r="179" spans="1:2" s="23" customFormat="1" ht="12.75">
      <c r="A179" s="116"/>
      <c r="B179" s="23" t="s">
        <v>521</v>
      </c>
    </row>
    <row r="180" spans="1:2" s="23" customFormat="1" ht="12.75">
      <c r="A180" s="116"/>
      <c r="B180" s="23" t="s">
        <v>526</v>
      </c>
    </row>
    <row r="181" spans="1:2" s="23" customFormat="1" ht="12.75">
      <c r="A181" s="116"/>
      <c r="B181" s="23" t="s">
        <v>318</v>
      </c>
    </row>
    <row r="182" spans="1:2" s="23" customFormat="1" ht="12.75">
      <c r="A182" s="116"/>
      <c r="B182" s="23" t="s">
        <v>527</v>
      </c>
    </row>
    <row r="183" spans="1:2" s="23" customFormat="1" ht="12.75">
      <c r="A183" s="116"/>
      <c r="B183" s="23" t="s">
        <v>319</v>
      </c>
    </row>
    <row r="184" spans="1:2" s="23" customFormat="1" ht="12.75">
      <c r="A184" s="116"/>
      <c r="B184" s="23" t="s">
        <v>548</v>
      </c>
    </row>
    <row r="185" spans="1:2" s="23" customFormat="1" ht="12.75">
      <c r="A185" s="116"/>
      <c r="B185" s="23" t="s">
        <v>547</v>
      </c>
    </row>
    <row r="186" s="23" customFormat="1" ht="7.5" customHeight="1">
      <c r="A186" s="116"/>
    </row>
    <row r="187" spans="1:7" s="36" customFormat="1" ht="12.75" customHeight="1">
      <c r="A187" s="116"/>
      <c r="B187" s="117" t="s">
        <v>158</v>
      </c>
      <c r="C187" s="23"/>
      <c r="D187" s="23"/>
      <c r="E187" s="23"/>
      <c r="F187" s="23"/>
      <c r="G187" s="23"/>
    </row>
    <row r="188" spans="1:7" s="36" customFormat="1" ht="12.75" customHeight="1">
      <c r="A188" s="116"/>
      <c r="B188" s="23" t="s">
        <v>64</v>
      </c>
      <c r="C188" s="23"/>
      <c r="D188" s="23" t="s">
        <v>528</v>
      </c>
      <c r="E188" s="23"/>
      <c r="F188" s="23"/>
      <c r="G188" s="23"/>
    </row>
    <row r="189" spans="1:7" s="36" customFormat="1" ht="12.75" customHeight="1">
      <c r="A189" s="116"/>
      <c r="B189" s="23"/>
      <c r="C189" s="23"/>
      <c r="D189" s="23" t="s">
        <v>529</v>
      </c>
      <c r="E189" s="23"/>
      <c r="F189" s="23"/>
      <c r="G189" s="23"/>
    </row>
    <row r="190" s="23" customFormat="1" ht="12.75">
      <c r="A190" s="116"/>
    </row>
    <row r="191" spans="1:7" s="23" customFormat="1" ht="12.75">
      <c r="A191" s="113" t="s">
        <v>136</v>
      </c>
      <c r="B191" s="114" t="s">
        <v>138</v>
      </c>
      <c r="G191" s="118">
        <f>D197</f>
        <v>746.85</v>
      </c>
    </row>
    <row r="192" spans="1:2" s="23" customFormat="1" ht="12.75">
      <c r="A192" s="116"/>
      <c r="B192" s="23" t="s">
        <v>537</v>
      </c>
    </row>
    <row r="193" spans="1:2" s="23" customFormat="1" ht="12.75">
      <c r="A193" s="116"/>
      <c r="B193" s="23" t="s">
        <v>538</v>
      </c>
    </row>
    <row r="194" spans="1:2" s="23" customFormat="1" ht="12.75">
      <c r="A194" s="116"/>
      <c r="B194" s="23" t="s">
        <v>543</v>
      </c>
    </row>
    <row r="195" spans="1:2" s="23" customFormat="1" ht="12.75">
      <c r="A195" s="116"/>
      <c r="B195" s="23" t="s">
        <v>544</v>
      </c>
    </row>
    <row r="196" spans="1:2" s="23" customFormat="1" ht="12.75">
      <c r="A196" s="116"/>
      <c r="B196" s="23" t="s">
        <v>545</v>
      </c>
    </row>
    <row r="197" spans="1:5" s="23" customFormat="1" ht="12.75" customHeight="1">
      <c r="A197" s="116"/>
      <c r="B197" s="36"/>
      <c r="C197" s="116" t="s">
        <v>255</v>
      </c>
      <c r="D197" s="438">
        <v>746.85</v>
      </c>
      <c r="E197" s="23" t="s">
        <v>159</v>
      </c>
    </row>
    <row r="198" s="23" customFormat="1" ht="12.75">
      <c r="A198" s="116"/>
    </row>
    <row r="199" spans="1:7" s="23" customFormat="1" ht="12.75">
      <c r="A199" s="113" t="s">
        <v>137</v>
      </c>
      <c r="B199" s="114" t="s">
        <v>470</v>
      </c>
      <c r="G199" s="118">
        <f>G191*34.2%</f>
        <v>255.42270000000002</v>
      </c>
    </row>
    <row r="200" spans="1:7" s="23" customFormat="1" ht="12.75">
      <c r="A200" s="113"/>
      <c r="G200" s="114"/>
    </row>
    <row r="201" spans="1:7" s="23" customFormat="1" ht="12.75">
      <c r="A201" s="113" t="s">
        <v>139</v>
      </c>
      <c r="B201" s="114" t="s">
        <v>71</v>
      </c>
      <c r="G201" s="114">
        <v>9.74</v>
      </c>
    </row>
    <row r="202" spans="2:3" s="23" customFormat="1" ht="12.75">
      <c r="B202" s="439" t="s">
        <v>550</v>
      </c>
      <c r="C202" s="439"/>
    </row>
    <row r="203" s="23" customFormat="1" ht="12.75"/>
    <row r="204" spans="1:7" s="23" customFormat="1" ht="12.75">
      <c r="A204" s="113" t="s">
        <v>140</v>
      </c>
      <c r="B204" s="114" t="s">
        <v>349</v>
      </c>
      <c r="G204" s="118">
        <f>SUM(G170:G199)*30%</f>
        <v>649.50681</v>
      </c>
    </row>
    <row r="205" s="23" customFormat="1" ht="12.75">
      <c r="B205" s="23" t="s">
        <v>523</v>
      </c>
    </row>
    <row r="206" s="23" customFormat="1" ht="12.75"/>
    <row r="207" spans="1:7" s="23" customFormat="1" ht="12.75">
      <c r="A207" s="113" t="s">
        <v>141</v>
      </c>
      <c r="B207" s="114" t="s">
        <v>0</v>
      </c>
      <c r="G207" s="115">
        <f>SUM(G170:G204)</f>
        <v>2824.2695099999996</v>
      </c>
    </row>
    <row r="208" spans="1:7" s="23" customFormat="1" ht="12.75">
      <c r="A208" s="113"/>
      <c r="B208" s="114"/>
      <c r="G208" s="115"/>
    </row>
    <row r="209" spans="1:7" s="23" customFormat="1" ht="12.75">
      <c r="A209" s="113"/>
      <c r="B209" s="114"/>
      <c r="G209" s="115"/>
    </row>
    <row r="210" spans="1:9" s="28" customFormat="1" ht="15">
      <c r="A210" s="120"/>
      <c r="B210" s="120" t="s">
        <v>320</v>
      </c>
      <c r="C210" s="120"/>
      <c r="D210" s="120"/>
      <c r="E210" s="120"/>
      <c r="F210" s="120"/>
      <c r="G210" s="442">
        <f>G207/8</f>
        <v>353.03368874999995</v>
      </c>
      <c r="I210" s="28" t="s">
        <v>524</v>
      </c>
    </row>
    <row r="211" spans="1:9" s="28" customFormat="1" ht="15" customHeight="1">
      <c r="A211" s="120"/>
      <c r="B211" s="120" t="s">
        <v>535</v>
      </c>
      <c r="C211" s="120"/>
      <c r="D211" s="120"/>
      <c r="E211" s="120"/>
      <c r="F211" s="120"/>
      <c r="G211" s="121">
        <f>G210*0.17</f>
        <v>60.0157270875</v>
      </c>
      <c r="I211" s="28" t="s">
        <v>525</v>
      </c>
    </row>
    <row r="212" spans="1:7" s="28" customFormat="1" ht="15" customHeight="1">
      <c r="A212" s="120"/>
      <c r="B212" s="120"/>
      <c r="C212" s="120"/>
      <c r="D212" s="120"/>
      <c r="E212" s="120"/>
      <c r="F212" s="120"/>
      <c r="G212" s="121"/>
    </row>
    <row r="213" spans="1:7" s="28" customFormat="1" ht="15" customHeight="1">
      <c r="A213" s="120"/>
      <c r="B213" s="120"/>
      <c r="C213" s="120"/>
      <c r="D213" s="120"/>
      <c r="E213" s="120"/>
      <c r="F213" s="120"/>
      <c r="G213" s="121"/>
    </row>
    <row r="214" spans="1:7" s="28" customFormat="1" ht="15" customHeight="1">
      <c r="A214" s="120"/>
      <c r="B214" s="120"/>
      <c r="C214" s="120"/>
      <c r="D214" s="120"/>
      <c r="E214" s="120"/>
      <c r="F214" s="120"/>
      <c r="G214" s="121"/>
    </row>
    <row r="215" spans="1:7" s="28" customFormat="1" ht="15" customHeight="1">
      <c r="A215" s="120"/>
      <c r="B215" s="120"/>
      <c r="C215" s="120"/>
      <c r="D215" s="120"/>
      <c r="E215" s="120"/>
      <c r="F215" s="120"/>
      <c r="G215" s="121"/>
    </row>
    <row r="216" spans="1:7" s="28" customFormat="1" ht="15" customHeight="1">
      <c r="A216" s="120"/>
      <c r="B216" s="120"/>
      <c r="C216" s="120"/>
      <c r="D216" s="120"/>
      <c r="E216" s="120"/>
      <c r="F216" s="120"/>
      <c r="G216" s="121"/>
    </row>
    <row r="217" s="23" customFormat="1" ht="15" customHeight="1"/>
    <row r="218" spans="3:6" s="23" customFormat="1" ht="15" customHeight="1">
      <c r="C218" s="36"/>
      <c r="D218" s="28" t="s">
        <v>68</v>
      </c>
      <c r="E218" s="28"/>
      <c r="F218" s="32"/>
    </row>
  </sheetData>
  <mergeCells count="12">
    <mergeCell ref="B3:G3"/>
    <mergeCell ref="B1:G1"/>
    <mergeCell ref="B2:G2"/>
    <mergeCell ref="B116:G116"/>
    <mergeCell ref="B62:G62"/>
    <mergeCell ref="B63:G63"/>
    <mergeCell ref="B64:G64"/>
    <mergeCell ref="B172:G172"/>
    <mergeCell ref="B173:G173"/>
    <mergeCell ref="B174:G174"/>
    <mergeCell ref="B117:G117"/>
    <mergeCell ref="B118:G118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3" sqref="A13"/>
    </sheetView>
  </sheetViews>
  <sheetFormatPr defaultColWidth="8.88671875" defaultRowHeight="15"/>
  <cols>
    <col min="1" max="1" width="7.21484375" style="28" customWidth="1"/>
    <col min="2" max="2" width="2.88671875" style="28" customWidth="1"/>
    <col min="3" max="9" width="8.88671875" style="28" customWidth="1"/>
    <col min="10" max="10" width="7.6640625" style="28" customWidth="1"/>
    <col min="11" max="16384" width="8.88671875" style="28" customWidth="1"/>
  </cols>
  <sheetData>
    <row r="1" ht="13.5" customHeight="1">
      <c r="I1" s="32" t="s">
        <v>486</v>
      </c>
    </row>
    <row r="2" ht="13.5" customHeight="1">
      <c r="I2" s="32" t="s">
        <v>513</v>
      </c>
    </row>
    <row r="3" ht="33.75" customHeight="1"/>
    <row r="4" spans="1:10" ht="13.5" customHeight="1">
      <c r="A4" s="465" t="s">
        <v>487</v>
      </c>
      <c r="B4" s="466"/>
      <c r="C4" s="466"/>
      <c r="D4" s="466"/>
      <c r="E4" s="466"/>
      <c r="F4" s="466"/>
      <c r="G4" s="466"/>
      <c r="H4" s="466"/>
      <c r="I4" s="466"/>
      <c r="J4" s="25"/>
    </row>
    <row r="5" spans="1:10" ht="13.5" customHeight="1">
      <c r="A5" s="465" t="s">
        <v>488</v>
      </c>
      <c r="B5" s="466"/>
      <c r="C5" s="466"/>
      <c r="D5" s="466"/>
      <c r="E5" s="466"/>
      <c r="F5" s="466"/>
      <c r="G5" s="466"/>
      <c r="H5" s="466"/>
      <c r="I5" s="466"/>
      <c r="J5" s="25"/>
    </row>
    <row r="6" spans="1:10" ht="13.5" customHeight="1">
      <c r="A6" s="465" t="s">
        <v>489</v>
      </c>
      <c r="B6" s="466"/>
      <c r="C6" s="466"/>
      <c r="D6" s="466"/>
      <c r="E6" s="466"/>
      <c r="F6" s="466"/>
      <c r="G6" s="466"/>
      <c r="H6" s="466"/>
      <c r="I6" s="466"/>
      <c r="J6" s="25"/>
    </row>
    <row r="7" spans="1:10" ht="13.5" customHeight="1">
      <c r="A7" s="465" t="s">
        <v>490</v>
      </c>
      <c r="B7" s="466"/>
      <c r="C7" s="466"/>
      <c r="D7" s="466"/>
      <c r="E7" s="466"/>
      <c r="F7" s="466"/>
      <c r="G7" s="466"/>
      <c r="H7" s="466"/>
      <c r="I7" s="466"/>
      <c r="J7" s="25"/>
    </row>
    <row r="8" spans="1:10" ht="13.5" customHeight="1">
      <c r="A8" s="465" t="s">
        <v>514</v>
      </c>
      <c r="B8" s="466"/>
      <c r="C8" s="466"/>
      <c r="D8" s="466"/>
      <c r="E8" s="466"/>
      <c r="F8" s="466"/>
      <c r="G8" s="466"/>
      <c r="H8" s="466"/>
      <c r="I8" s="466"/>
      <c r="J8" s="25"/>
    </row>
    <row r="9" ht="18" customHeight="1"/>
    <row r="10" ht="15">
      <c r="A10" s="28" t="s">
        <v>491</v>
      </c>
    </row>
    <row r="11" ht="15">
      <c r="E11" s="317" t="s">
        <v>492</v>
      </c>
    </row>
    <row r="12" ht="15">
      <c r="E12" s="317"/>
    </row>
    <row r="14" ht="15">
      <c r="A14" s="279" t="s">
        <v>516</v>
      </c>
    </row>
    <row r="15" ht="13.5" customHeight="1">
      <c r="A15" s="28" t="s">
        <v>494</v>
      </c>
    </row>
    <row r="16" ht="13.5" customHeight="1">
      <c r="B16" s="28" t="s">
        <v>495</v>
      </c>
    </row>
    <row r="17" ht="13.5" customHeight="1">
      <c r="B17" s="28" t="s">
        <v>496</v>
      </c>
    </row>
    <row r="18" ht="13.5" customHeight="1">
      <c r="B18" s="28" t="s">
        <v>493</v>
      </c>
    </row>
    <row r="19" ht="13.5" customHeight="1">
      <c r="C19" s="28" t="s">
        <v>497</v>
      </c>
    </row>
    <row r="20" ht="13.5" customHeight="1">
      <c r="C20" s="28" t="s">
        <v>498</v>
      </c>
    </row>
    <row r="21" ht="13.5" customHeight="1">
      <c r="B21" s="28" t="s">
        <v>499</v>
      </c>
    </row>
    <row r="22" ht="13.5" customHeight="1">
      <c r="C22" s="28" t="s">
        <v>500</v>
      </c>
    </row>
    <row r="23" ht="13.5" customHeight="1">
      <c r="C23" s="28" t="s">
        <v>501</v>
      </c>
    </row>
    <row r="24" ht="15">
      <c r="A24" s="28" t="s">
        <v>504</v>
      </c>
    </row>
    <row r="25" ht="15">
      <c r="A25" s="279" t="s">
        <v>517</v>
      </c>
    </row>
    <row r="26" ht="13.5" customHeight="1">
      <c r="A26" s="28" t="s">
        <v>507</v>
      </c>
    </row>
    <row r="27" ht="13.5" customHeight="1">
      <c r="A27" s="28" t="s">
        <v>509</v>
      </c>
    </row>
    <row r="28" ht="13.5" customHeight="1"/>
    <row r="29" ht="15">
      <c r="A29" s="279" t="s">
        <v>518</v>
      </c>
    </row>
    <row r="30" ht="13.5" customHeight="1">
      <c r="A30" s="28" t="s">
        <v>515</v>
      </c>
    </row>
    <row r="31" ht="13.5" customHeight="1">
      <c r="A31" s="28" t="s">
        <v>509</v>
      </c>
    </row>
    <row r="32" ht="13.5" customHeight="1"/>
    <row r="33" ht="13.5" customHeight="1">
      <c r="A33" s="279" t="s">
        <v>519</v>
      </c>
    </row>
    <row r="34" ht="13.5" customHeight="1">
      <c r="A34" s="28" t="s">
        <v>502</v>
      </c>
    </row>
    <row r="35" ht="13.5" customHeight="1">
      <c r="A35" s="28" t="s">
        <v>503</v>
      </c>
    </row>
    <row r="36" ht="13.5" customHeight="1">
      <c r="A36" s="28" t="s">
        <v>505</v>
      </c>
    </row>
    <row r="37" ht="13.5" customHeight="1">
      <c r="A37" s="28" t="s">
        <v>506</v>
      </c>
    </row>
    <row r="38" ht="13.5" customHeight="1">
      <c r="A38" s="28" t="s">
        <v>508</v>
      </c>
    </row>
    <row r="39" ht="13.5" customHeight="1">
      <c r="B39" s="28" t="s">
        <v>510</v>
      </c>
    </row>
    <row r="40" ht="13.5" customHeight="1">
      <c r="A40" s="28" t="s">
        <v>511</v>
      </c>
    </row>
    <row r="41" ht="13.5" customHeight="1">
      <c r="B41" s="28" t="s">
        <v>512</v>
      </c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spans="4:7" ht="15">
      <c r="D50" s="28" t="s">
        <v>68</v>
      </c>
      <c r="G50" s="28" t="s">
        <v>391</v>
      </c>
    </row>
    <row r="51" ht="15">
      <c r="A51" s="28" t="s">
        <v>13</v>
      </c>
    </row>
  </sheetData>
  <mergeCells count="5">
    <mergeCell ref="A8:I8"/>
    <mergeCell ref="A4:I4"/>
    <mergeCell ref="A5:I5"/>
    <mergeCell ref="A6:I6"/>
    <mergeCell ref="A7:I7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6">
      <selection activeCell="K20" sqref="K20"/>
    </sheetView>
  </sheetViews>
  <sheetFormatPr defaultColWidth="8.88671875" defaultRowHeight="15"/>
  <cols>
    <col min="1" max="1" width="4.99609375" style="28" customWidth="1"/>
    <col min="2" max="3" width="8.88671875" style="28" customWidth="1"/>
    <col min="4" max="4" width="11.77734375" style="28" customWidth="1"/>
    <col min="5" max="5" width="11.77734375" style="28" hidden="1" customWidth="1"/>
    <col min="6" max="6" width="11.77734375" style="28" customWidth="1"/>
    <col min="7" max="7" width="8.4453125" style="28" hidden="1" customWidth="1"/>
    <col min="8" max="8" width="10.3359375" style="28" hidden="1" customWidth="1"/>
    <col min="9" max="9" width="6.6640625" style="28" hidden="1" customWidth="1"/>
    <col min="10" max="10" width="7.4453125" style="28" hidden="1" customWidth="1"/>
    <col min="11" max="16384" width="8.88671875" style="28" customWidth="1"/>
  </cols>
  <sheetData>
    <row r="1" spans="3:6" ht="15">
      <c r="C1" s="65" t="s">
        <v>337</v>
      </c>
      <c r="D1" s="65"/>
      <c r="E1" s="65"/>
      <c r="F1" s="65"/>
    </row>
    <row r="2" spans="3:7" ht="15" hidden="1">
      <c r="C2" s="65"/>
      <c r="D2" s="65" t="s">
        <v>256</v>
      </c>
      <c r="E2" s="65"/>
      <c r="F2" s="65"/>
      <c r="G2" s="65"/>
    </row>
    <row r="3" spans="3:7" ht="15">
      <c r="C3" s="65"/>
      <c r="D3" s="65"/>
      <c r="E3" s="65"/>
      <c r="F3" s="65"/>
      <c r="G3" s="65"/>
    </row>
    <row r="4" spans="2:7" ht="15">
      <c r="B4" s="65"/>
      <c r="C4" s="65"/>
      <c r="D4" s="65"/>
      <c r="E4" s="65"/>
      <c r="F4" s="65"/>
      <c r="G4" s="302" t="s">
        <v>364</v>
      </c>
    </row>
    <row r="5" spans="2:11" ht="15">
      <c r="B5" s="65"/>
      <c r="C5" s="65"/>
      <c r="D5" s="65"/>
      <c r="E5" s="272" t="s">
        <v>257</v>
      </c>
      <c r="F5" s="272" t="s">
        <v>343</v>
      </c>
      <c r="H5" s="272" t="s">
        <v>339</v>
      </c>
      <c r="K5" s="272" t="s">
        <v>311</v>
      </c>
    </row>
    <row r="6" spans="1:11" ht="15">
      <c r="A6" s="28" t="s">
        <v>133</v>
      </c>
      <c r="B6" s="28" t="s">
        <v>340</v>
      </c>
      <c r="C6" s="65"/>
      <c r="F6" s="276">
        <v>21338</v>
      </c>
      <c r="G6" s="276"/>
      <c r="H6" s="276">
        <v>13550</v>
      </c>
      <c r="I6" s="276"/>
      <c r="K6" s="274">
        <f>SUM(K7:K8)</f>
        <v>23385.52</v>
      </c>
    </row>
    <row r="7" spans="1:11" ht="15">
      <c r="A7" s="28" t="s">
        <v>136</v>
      </c>
      <c r="B7" s="28" t="s">
        <v>341</v>
      </c>
      <c r="C7" s="65"/>
      <c r="F7" s="66">
        <v>2779</v>
      </c>
      <c r="G7" s="276"/>
      <c r="H7" s="276">
        <v>1760</v>
      </c>
      <c r="I7" s="276"/>
      <c r="K7" s="66">
        <v>4095</v>
      </c>
    </row>
    <row r="8" spans="1:11" ht="15">
      <c r="A8" s="28" t="s">
        <v>137</v>
      </c>
      <c r="B8" s="28" t="s">
        <v>342</v>
      </c>
      <c r="C8" s="65"/>
      <c r="F8" s="276">
        <v>18559</v>
      </c>
      <c r="G8" s="276"/>
      <c r="H8" s="276">
        <v>11650</v>
      </c>
      <c r="I8" s="276"/>
      <c r="K8" s="274">
        <v>19290.52</v>
      </c>
    </row>
    <row r="10" spans="5:11" ht="15">
      <c r="E10" s="116" t="s">
        <v>79</v>
      </c>
      <c r="F10" s="116" t="s">
        <v>79</v>
      </c>
      <c r="K10" s="116" t="s">
        <v>79</v>
      </c>
    </row>
    <row r="11" spans="1:11" s="65" customFormat="1" ht="15">
      <c r="A11" s="65" t="s">
        <v>80</v>
      </c>
      <c r="E11" s="273">
        <v>30.94</v>
      </c>
      <c r="F11" s="273">
        <v>79.95</v>
      </c>
      <c r="G11" s="121">
        <f>F11/8*5</f>
        <v>49.96875</v>
      </c>
      <c r="H11" s="120">
        <v>427.1</v>
      </c>
      <c r="K11" s="65">
        <v>95.32</v>
      </c>
    </row>
    <row r="12" spans="2:11" ht="15">
      <c r="B12" s="28" t="s">
        <v>335</v>
      </c>
      <c r="E12" s="274">
        <f aca="true" t="shared" si="0" ref="E12:K12">E11/E13*1000</f>
        <v>14.832214765100671</v>
      </c>
      <c r="F12" s="274">
        <f t="shared" si="0"/>
        <v>18.74714220393233</v>
      </c>
      <c r="G12" s="274" t="e">
        <f t="shared" si="0"/>
        <v>#DIV/0!</v>
      </c>
      <c r="H12" s="274">
        <f t="shared" si="0"/>
        <v>22.478947368421053</v>
      </c>
      <c r="I12" s="274" t="e">
        <f t="shared" si="0"/>
        <v>#VALUE!</v>
      </c>
      <c r="J12" s="274" t="e">
        <f t="shared" si="0"/>
        <v>#DIV/0!</v>
      </c>
      <c r="K12" s="274">
        <f t="shared" si="0"/>
        <v>22.53998056245906</v>
      </c>
    </row>
    <row r="13" spans="2:12" ht="15">
      <c r="B13" s="28" t="s">
        <v>336</v>
      </c>
      <c r="E13" s="66">
        <v>2086</v>
      </c>
      <c r="F13" s="274">
        <v>4264.65</v>
      </c>
      <c r="H13" s="66">
        <v>19000</v>
      </c>
      <c r="I13" s="32" t="s">
        <v>345</v>
      </c>
      <c r="K13" s="274">
        <v>4228.93</v>
      </c>
      <c r="L13" s="60" t="s">
        <v>384</v>
      </c>
    </row>
    <row r="14" spans="2:11" ht="15">
      <c r="B14" s="28" t="s">
        <v>334</v>
      </c>
      <c r="E14" s="66"/>
      <c r="F14" s="66">
        <v>2038</v>
      </c>
      <c r="K14" s="66">
        <v>4064</v>
      </c>
    </row>
    <row r="15" spans="5:6" ht="15">
      <c r="E15" s="274"/>
      <c r="F15" s="274"/>
    </row>
    <row r="16" spans="1:11" s="65" customFormat="1" ht="15">
      <c r="A16" s="65" t="s">
        <v>258</v>
      </c>
      <c r="E16" s="275">
        <v>150</v>
      </c>
      <c r="F16" s="273">
        <v>162.45</v>
      </c>
      <c r="G16" s="121">
        <f>F16/4*3</f>
        <v>121.83749999999999</v>
      </c>
      <c r="H16" s="120">
        <v>172.8</v>
      </c>
      <c r="K16" s="65">
        <v>162.45</v>
      </c>
    </row>
    <row r="17" spans="5:6" ht="15">
      <c r="E17" s="274"/>
      <c r="F17" s="274"/>
    </row>
    <row r="18" spans="1:11" s="65" customFormat="1" ht="15">
      <c r="A18" s="65" t="s">
        <v>259</v>
      </c>
      <c r="E18" s="273">
        <v>7417.73</v>
      </c>
      <c r="F18" s="275">
        <v>8135.8</v>
      </c>
      <c r="G18" s="121">
        <f>F18/8*5</f>
        <v>5084.875</v>
      </c>
      <c r="H18" s="303">
        <v>5202</v>
      </c>
      <c r="K18" s="273">
        <v>9373.58</v>
      </c>
    </row>
    <row r="19" spans="2:11" s="65" customFormat="1" ht="15">
      <c r="B19" s="28" t="s">
        <v>338</v>
      </c>
      <c r="E19" s="274"/>
      <c r="F19" s="274">
        <v>670.46</v>
      </c>
      <c r="K19" s="28">
        <v>698.48</v>
      </c>
    </row>
    <row r="20" spans="2:11" ht="15">
      <c r="B20" s="28" t="s">
        <v>260</v>
      </c>
      <c r="E20" s="274">
        <v>2.62</v>
      </c>
      <c r="F20" s="274">
        <f aca="true" t="shared" si="1" ref="F20:K20">(F18-F24)/1845.2865</f>
        <v>2.78189638595416</v>
      </c>
      <c r="G20" s="274">
        <f t="shared" si="1"/>
        <v>2.7556019078880163</v>
      </c>
      <c r="H20" s="274">
        <f t="shared" si="1"/>
        <v>2.8190744364086555</v>
      </c>
      <c r="I20" s="274">
        <f t="shared" si="1"/>
        <v>0</v>
      </c>
      <c r="J20" s="274">
        <f t="shared" si="1"/>
        <v>0</v>
      </c>
      <c r="K20" s="274">
        <f t="shared" si="1"/>
        <v>3.0788729581016283</v>
      </c>
    </row>
    <row r="21" spans="2:11" ht="15">
      <c r="B21" s="28" t="s">
        <v>367</v>
      </c>
      <c r="E21" s="276">
        <v>11969.8</v>
      </c>
      <c r="F21" s="274">
        <v>12301.91</v>
      </c>
      <c r="G21" s="281">
        <f>F21/F6</f>
        <v>0.5765259162058299</v>
      </c>
      <c r="H21" s="66">
        <v>9693</v>
      </c>
      <c r="I21" s="66">
        <v>8752</v>
      </c>
      <c r="J21" s="66">
        <f>I21/H6*1000</f>
        <v>645.9040590405905</v>
      </c>
      <c r="K21" s="274">
        <v>13570.19</v>
      </c>
    </row>
    <row r="22" spans="2:11" ht="15">
      <c r="B22" s="28" t="s">
        <v>261</v>
      </c>
      <c r="E22" s="66">
        <v>2790</v>
      </c>
      <c r="F22" s="66">
        <v>3243</v>
      </c>
      <c r="J22" s="282" t="s">
        <v>344</v>
      </c>
      <c r="K22" s="276">
        <v>1990</v>
      </c>
    </row>
    <row r="23" spans="2:11" ht="15">
      <c r="B23" s="28" t="s">
        <v>262</v>
      </c>
      <c r="E23" s="274">
        <v>225.98</v>
      </c>
      <c r="F23" s="274">
        <v>244.06</v>
      </c>
      <c r="G23" s="277"/>
      <c r="H23" s="280">
        <v>247.8</v>
      </c>
      <c r="K23" s="28">
        <v>272.08</v>
      </c>
    </row>
    <row r="24" spans="2:11" ht="15">
      <c r="B24" s="28" t="s">
        <v>83</v>
      </c>
      <c r="E24" s="274">
        <f>E21*E23/1000</f>
        <v>2704.935404</v>
      </c>
      <c r="F24" s="274">
        <f>F21*F23/1000</f>
        <v>3002.4041546</v>
      </c>
      <c r="K24" s="274">
        <f>K21*K23/1000</f>
        <v>3692.1772952</v>
      </c>
    </row>
    <row r="25" spans="2:11" ht="15">
      <c r="B25" s="28" t="s">
        <v>263</v>
      </c>
      <c r="E25" s="274">
        <v>393.73</v>
      </c>
      <c r="F25" s="274">
        <v>426.4</v>
      </c>
      <c r="K25" s="280">
        <v>426.4</v>
      </c>
    </row>
    <row r="26" spans="2:11" ht="15">
      <c r="B26" s="28" t="s">
        <v>84</v>
      </c>
      <c r="E26" s="274">
        <f>E21*E25/1000</f>
        <v>4712.869354</v>
      </c>
      <c r="F26" s="274">
        <f>F21*F25/1000</f>
        <v>5245.5344239999995</v>
      </c>
      <c r="G26" s="274"/>
      <c r="K26" s="274">
        <f>K21*K25/1000</f>
        <v>5786.329016</v>
      </c>
    </row>
    <row r="27" spans="2:6" ht="15">
      <c r="B27" s="28" t="s">
        <v>82</v>
      </c>
      <c r="E27" s="278" t="s">
        <v>157</v>
      </c>
      <c r="F27" s="278" t="s">
        <v>157</v>
      </c>
    </row>
    <row r="28" spans="5:6" ht="15">
      <c r="E28" s="274"/>
      <c r="F28" s="274">
        <f>F24+F26</f>
        <v>8247.938578599998</v>
      </c>
    </row>
    <row r="29" spans="1:11" s="65" customFormat="1" ht="15">
      <c r="A29" s="65" t="s">
        <v>264</v>
      </c>
      <c r="E29" s="273">
        <v>4497.42</v>
      </c>
      <c r="F29" s="273">
        <v>5270.73</v>
      </c>
      <c r="G29" s="121">
        <f>F29/8*5</f>
        <v>3294.2062499999997</v>
      </c>
      <c r="H29" s="120">
        <v>2172.5</v>
      </c>
      <c r="K29" s="273">
        <v>5317.73</v>
      </c>
    </row>
    <row r="30" spans="5:7" ht="15">
      <c r="E30" s="274"/>
      <c r="F30" s="274"/>
      <c r="G30" s="280"/>
    </row>
    <row r="31" spans="1:11" s="65" customFormat="1" ht="15">
      <c r="A31" s="65" t="s">
        <v>265</v>
      </c>
      <c r="E31" s="273">
        <v>643.13</v>
      </c>
      <c r="F31" s="273">
        <v>753.71</v>
      </c>
      <c r="G31" s="121">
        <f>F31/8*5</f>
        <v>471.06875</v>
      </c>
      <c r="H31" s="120">
        <v>274.2</v>
      </c>
      <c r="K31" s="65">
        <v>760.44</v>
      </c>
    </row>
    <row r="32" spans="5:7" ht="15">
      <c r="E32" s="274"/>
      <c r="F32" s="274"/>
      <c r="G32" s="280"/>
    </row>
    <row r="33" spans="1:11" s="65" customFormat="1" ht="15">
      <c r="A33" s="65" t="s">
        <v>266</v>
      </c>
      <c r="E33" s="273">
        <v>2031.98</v>
      </c>
      <c r="F33" s="273">
        <v>2858.35</v>
      </c>
      <c r="G33" s="121">
        <f>F33/8*5</f>
        <v>1786.46875</v>
      </c>
      <c r="H33" s="120">
        <v>1528.3</v>
      </c>
      <c r="K33" s="273">
        <v>2982.86</v>
      </c>
    </row>
    <row r="34" spans="2:11" ht="15">
      <c r="B34" s="28" t="s">
        <v>366</v>
      </c>
      <c r="E34" s="274"/>
      <c r="F34" s="274">
        <v>2733.28</v>
      </c>
      <c r="G34" s="305"/>
      <c r="H34" s="279"/>
      <c r="K34" s="274">
        <v>2863.96</v>
      </c>
    </row>
    <row r="35" spans="3:11" s="23" customFormat="1" ht="12.75">
      <c r="C35" s="23" t="s">
        <v>267</v>
      </c>
      <c r="E35" s="107">
        <f>E33/E36*1000</f>
        <v>1.9316537666668567</v>
      </c>
      <c r="F35" s="307">
        <f>F33/F36*1000</f>
        <v>2.572661127152022</v>
      </c>
      <c r="K35" s="266">
        <f>K33/K36</f>
        <v>2.4634389669422854</v>
      </c>
    </row>
    <row r="36" spans="3:11" s="23" customFormat="1" ht="12.75">
      <c r="C36" s="23" t="s">
        <v>268</v>
      </c>
      <c r="E36" s="282">
        <v>1051938</v>
      </c>
      <c r="F36" s="282">
        <v>1111048</v>
      </c>
      <c r="K36" s="306">
        <v>1210.852</v>
      </c>
    </row>
    <row r="37" spans="2:11" ht="15">
      <c r="B37" s="28" t="s">
        <v>365</v>
      </c>
      <c r="E37" s="274">
        <v>93.91</v>
      </c>
      <c r="F37" s="274">
        <v>125.07</v>
      </c>
      <c r="K37" s="28">
        <v>118.9</v>
      </c>
    </row>
    <row r="38" spans="5:6" ht="15">
      <c r="E38" s="274"/>
      <c r="F38" s="274"/>
    </row>
    <row r="39" spans="1:11" s="65" customFormat="1" ht="15">
      <c r="A39" s="65" t="s">
        <v>269</v>
      </c>
      <c r="E39" s="273">
        <v>274.07</v>
      </c>
      <c r="F39" s="273">
        <v>897.58</v>
      </c>
      <c r="G39" s="121">
        <f>F39/4*3</f>
        <v>673.1850000000001</v>
      </c>
      <c r="H39" s="303">
        <v>859</v>
      </c>
      <c r="K39" s="65">
        <v>884.46</v>
      </c>
    </row>
    <row r="40" spans="5:7" ht="15">
      <c r="E40" s="274"/>
      <c r="F40" s="274"/>
      <c r="G40" s="280"/>
    </row>
    <row r="41" spans="1:11" s="65" customFormat="1" ht="15">
      <c r="A41" s="65" t="s">
        <v>270</v>
      </c>
      <c r="E41" s="273">
        <v>1846.78</v>
      </c>
      <c r="F41" s="273">
        <v>1995.22</v>
      </c>
      <c r="G41" s="121">
        <f>F41/4*3</f>
        <v>1496.415</v>
      </c>
      <c r="H41" s="120">
        <v>1592.5</v>
      </c>
      <c r="K41" s="273">
        <v>2024.29</v>
      </c>
    </row>
    <row r="42" spans="1:6" ht="15" hidden="1">
      <c r="A42" s="279" t="s">
        <v>271</v>
      </c>
      <c r="E42" s="274"/>
      <c r="F42" s="274"/>
    </row>
    <row r="43" spans="1:6" ht="15" hidden="1">
      <c r="A43" s="28" t="s">
        <v>272</v>
      </c>
      <c r="E43" s="274">
        <v>11.52</v>
      </c>
      <c r="F43" s="274">
        <v>21.77</v>
      </c>
    </row>
    <row r="44" spans="1:6" ht="15" hidden="1">
      <c r="A44" s="28" t="s">
        <v>85</v>
      </c>
      <c r="E44" s="276">
        <v>44.9</v>
      </c>
      <c r="F44" s="274">
        <v>44.9</v>
      </c>
    </row>
    <row r="45" spans="1:6" ht="15" hidden="1">
      <c r="A45" s="28" t="s">
        <v>86</v>
      </c>
      <c r="E45" s="276">
        <v>53</v>
      </c>
      <c r="F45" s="274">
        <v>49.68</v>
      </c>
    </row>
    <row r="46" spans="1:6" ht="15" hidden="1">
      <c r="A46" s="28" t="s">
        <v>87</v>
      </c>
      <c r="E46" s="274">
        <v>13.41</v>
      </c>
      <c r="F46" s="274">
        <v>10.57</v>
      </c>
    </row>
    <row r="47" spans="1:6" ht="15" hidden="1">
      <c r="A47" s="28" t="s">
        <v>273</v>
      </c>
      <c r="E47" s="278" t="s">
        <v>157</v>
      </c>
      <c r="F47" s="276">
        <v>60.8</v>
      </c>
    </row>
    <row r="48" spans="1:6" ht="15" hidden="1">
      <c r="A48" s="28" t="s">
        <v>88</v>
      </c>
      <c r="E48" s="278" t="s">
        <v>157</v>
      </c>
      <c r="F48" s="276">
        <v>19.6</v>
      </c>
    </row>
    <row r="49" spans="1:8" ht="15" hidden="1">
      <c r="A49" s="28" t="s">
        <v>274</v>
      </c>
      <c r="E49" s="274">
        <f>E41-SUM(E43:E46)</f>
        <v>1723.95</v>
      </c>
      <c r="F49" s="276">
        <f>F41-SUM(F43:F48)</f>
        <v>1787.9</v>
      </c>
      <c r="G49" s="23">
        <v>33.9</v>
      </c>
      <c r="H49" s="23" t="s">
        <v>66</v>
      </c>
    </row>
    <row r="50" spans="5:6" ht="15" hidden="1">
      <c r="E50" s="274">
        <f>SUM(E42:E49)</f>
        <v>1846.78</v>
      </c>
      <c r="F50" s="274">
        <f>SUM(F42:F49)</f>
        <v>1995.22</v>
      </c>
    </row>
    <row r="51" spans="5:6" ht="15">
      <c r="E51" s="274"/>
      <c r="F51" s="274"/>
    </row>
    <row r="52" spans="2:11" s="65" customFormat="1" ht="15">
      <c r="B52" s="65" t="s">
        <v>346</v>
      </c>
      <c r="E52" s="273"/>
      <c r="F52" s="273">
        <v>20153.8</v>
      </c>
      <c r="G52" s="121">
        <f>G11+G16+G18+G29+G31+G33+G39+G41</f>
        <v>12978.024999999998</v>
      </c>
      <c r="H52" s="121">
        <f>H11+H16+H18+H29+H31+H33+H39+H41</f>
        <v>12228.4</v>
      </c>
      <c r="K52" s="273">
        <v>21601.12</v>
      </c>
    </row>
    <row r="53" spans="5:8" s="65" customFormat="1" ht="14.25">
      <c r="E53" s="273"/>
      <c r="F53" s="273"/>
      <c r="H53" s="275"/>
    </row>
    <row r="54" spans="2:11" s="65" customFormat="1" ht="15">
      <c r="B54" s="65" t="s">
        <v>347</v>
      </c>
      <c r="E54" s="273"/>
      <c r="F54" s="273">
        <v>20790.08</v>
      </c>
      <c r="G54" s="120">
        <f>F54/8*5</f>
        <v>12993.800000000001</v>
      </c>
      <c r="H54" s="304">
        <v>13241.8</v>
      </c>
      <c r="K54" s="273">
        <v>22280.82</v>
      </c>
    </row>
    <row r="55" spans="5:8" s="65" customFormat="1" ht="15">
      <c r="E55" s="273"/>
      <c r="F55" s="273"/>
      <c r="G55" s="120"/>
      <c r="H55" s="304"/>
    </row>
    <row r="56" spans="2:11" s="65" customFormat="1" ht="15">
      <c r="B56" s="65" t="s">
        <v>348</v>
      </c>
      <c r="E56" s="273"/>
      <c r="F56" s="273">
        <f>F54-F52</f>
        <v>636.2800000000025</v>
      </c>
      <c r="G56" s="304">
        <f>(G54-G52)</f>
        <v>15.775000000003274</v>
      </c>
      <c r="H56" s="304">
        <f>(H54-H52)</f>
        <v>1013.3999999999996</v>
      </c>
      <c r="K56" s="65">
        <v>679.7</v>
      </c>
    </row>
    <row r="57" spans="5:8" ht="15">
      <c r="E57" s="274"/>
      <c r="F57" s="274"/>
      <c r="H57" s="276"/>
    </row>
    <row r="58" spans="5:6" ht="15">
      <c r="E58" s="274"/>
      <c r="F58" s="274"/>
    </row>
    <row r="59" spans="5:6" ht="15">
      <c r="E59" s="274"/>
      <c r="F59" s="274"/>
    </row>
  </sheetData>
  <printOptions horizontalCentered="1"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3">
      <selection activeCell="F30" sqref="F30"/>
    </sheetView>
  </sheetViews>
  <sheetFormatPr defaultColWidth="8.88671875" defaultRowHeight="15"/>
  <cols>
    <col min="1" max="1" width="7.88671875" style="36" customWidth="1"/>
    <col min="2" max="2" width="8.88671875" style="36" customWidth="1"/>
    <col min="3" max="3" width="9.4453125" style="36" customWidth="1"/>
    <col min="4" max="4" width="9.6640625" style="36" customWidth="1"/>
    <col min="5" max="5" width="11.10546875" style="36" customWidth="1"/>
    <col min="6" max="6" width="12.21484375" style="36" customWidth="1"/>
    <col min="7" max="7" width="11.5546875" style="36" customWidth="1"/>
    <col min="8" max="8" width="14.3359375" style="36" customWidth="1"/>
    <col min="9" max="16384" width="8.88671875" style="36" customWidth="1"/>
  </cols>
  <sheetData>
    <row r="1" spans="1:9" ht="17.25" customHeight="1">
      <c r="A1" s="64"/>
      <c r="B1" s="64"/>
      <c r="C1" s="64"/>
      <c r="D1" s="64"/>
      <c r="E1" s="270" t="s">
        <v>127</v>
      </c>
      <c r="F1" s="64"/>
      <c r="G1" s="64"/>
      <c r="H1" s="64"/>
      <c r="I1" s="64"/>
    </row>
    <row r="2" spans="1:9" ht="17.25" customHeight="1">
      <c r="A2" s="64"/>
      <c r="B2" s="270" t="s">
        <v>360</v>
      </c>
      <c r="C2" s="64"/>
      <c r="D2" s="64"/>
      <c r="E2" s="64"/>
      <c r="F2" s="64"/>
      <c r="G2" s="64"/>
      <c r="H2" s="64"/>
      <c r="I2" s="64"/>
    </row>
    <row r="3" spans="1:9" ht="17.25" customHeight="1">
      <c r="A3" s="64"/>
      <c r="B3" s="270" t="s">
        <v>5</v>
      </c>
      <c r="C3" s="64"/>
      <c r="D3" s="64"/>
      <c r="E3" s="64"/>
      <c r="F3" s="64"/>
      <c r="G3" s="64"/>
      <c r="H3" s="64"/>
      <c r="I3" s="64"/>
    </row>
    <row r="4" spans="1:9" ht="17.25" customHeight="1">
      <c r="A4" s="64"/>
      <c r="B4" s="64"/>
      <c r="C4" s="270" t="s">
        <v>403</v>
      </c>
      <c r="D4" s="64"/>
      <c r="E4" s="64"/>
      <c r="F4" s="64"/>
      <c r="G4" s="64"/>
      <c r="H4" s="64"/>
      <c r="I4" s="64"/>
    </row>
    <row r="7" spans="1:2" ht="15.75">
      <c r="A7" s="38" t="s">
        <v>133</v>
      </c>
      <c r="B7" s="36" t="s">
        <v>7</v>
      </c>
    </row>
    <row r="8" ht="15" customHeight="1">
      <c r="A8" s="36" t="s">
        <v>6</v>
      </c>
    </row>
    <row r="9" ht="9.75" customHeight="1"/>
    <row r="10" spans="2:7" s="23" customFormat="1" ht="51.75" customHeight="1">
      <c r="B10" s="295" t="s">
        <v>12</v>
      </c>
      <c r="C10" s="296" t="s">
        <v>128</v>
      </c>
      <c r="D10" s="296" t="s">
        <v>351</v>
      </c>
      <c r="E10" s="296" t="s">
        <v>352</v>
      </c>
      <c r="F10" s="296" t="s">
        <v>361</v>
      </c>
      <c r="G10" s="297"/>
    </row>
    <row r="11" spans="2:7" ht="16.5" customHeight="1">
      <c r="B11" s="292" t="s">
        <v>8</v>
      </c>
      <c r="C11" s="292">
        <v>4</v>
      </c>
      <c r="D11" s="292">
        <v>3.317</v>
      </c>
      <c r="E11" s="293">
        <f>C11*D11</f>
        <v>13.268</v>
      </c>
      <c r="F11" s="294">
        <f>E11*0.4</f>
        <v>5.307200000000001</v>
      </c>
      <c r="G11" s="108"/>
    </row>
    <row r="12" spans="2:7" s="264" customFormat="1" ht="18" customHeight="1">
      <c r="B12" s="298" t="s">
        <v>0</v>
      </c>
      <c r="C12" s="298">
        <f>SUM(C11:C11)</f>
        <v>4</v>
      </c>
      <c r="D12" s="298">
        <f>SUM(D11:D11)</f>
        <v>3.317</v>
      </c>
      <c r="E12" s="299">
        <f>SUM(E11:E11)</f>
        <v>13.268</v>
      </c>
      <c r="F12" s="300">
        <f>SUM(F11:F11)</f>
        <v>5.307200000000001</v>
      </c>
      <c r="G12" s="301"/>
    </row>
    <row r="13" ht="24.75" customHeight="1"/>
    <row r="14" spans="1:2" ht="15.75">
      <c r="A14" s="38" t="s">
        <v>136</v>
      </c>
      <c r="B14" s="36" t="s">
        <v>362</v>
      </c>
    </row>
    <row r="15" ht="9.75" customHeight="1"/>
    <row r="16" spans="2:7" s="28" customFormat="1" ht="12.75" customHeight="1">
      <c r="B16" s="28" t="s">
        <v>234</v>
      </c>
      <c r="E16" s="28" t="s">
        <v>131</v>
      </c>
      <c r="F16" s="287"/>
      <c r="G16" s="287" t="s">
        <v>9</v>
      </c>
    </row>
    <row r="17" spans="2:7" s="28" customFormat="1" ht="12.75" customHeight="1">
      <c r="B17" s="28" t="s">
        <v>129</v>
      </c>
      <c r="E17" s="28" t="s">
        <v>363</v>
      </c>
      <c r="F17" s="287"/>
      <c r="G17" s="287" t="s">
        <v>132</v>
      </c>
    </row>
    <row r="18" s="28" customFormat="1" ht="12.75" customHeight="1">
      <c r="B18" s="28" t="s">
        <v>130</v>
      </c>
    </row>
    <row r="19" s="28" customFormat="1" ht="12.75" customHeight="1">
      <c r="B19" s="28" t="s">
        <v>233</v>
      </c>
    </row>
    <row r="20" ht="7.5" customHeight="1"/>
    <row r="21" spans="2:7" ht="15.75">
      <c r="B21" s="37"/>
      <c r="C21" s="289">
        <v>0.653</v>
      </c>
      <c r="E21" s="38">
        <v>0.96</v>
      </c>
      <c r="F21" s="37"/>
      <c r="G21" s="288">
        <f>C21*E21</f>
        <v>0.62688</v>
      </c>
    </row>
    <row r="22" ht="25.5" customHeight="1">
      <c r="B22" s="36" t="s">
        <v>413</v>
      </c>
    </row>
    <row r="23" ht="24.75" customHeight="1"/>
    <row r="24" spans="1:2" ht="15.75">
      <c r="A24" s="38" t="s">
        <v>137</v>
      </c>
      <c r="B24" s="36" t="s">
        <v>235</v>
      </c>
    </row>
    <row r="25" ht="10.5" customHeight="1"/>
    <row r="26" spans="2:7" s="28" customFormat="1" ht="12.75" customHeight="1">
      <c r="B26" s="28" t="s">
        <v>353</v>
      </c>
      <c r="E26" s="28" t="s">
        <v>131</v>
      </c>
      <c r="G26" s="287" t="s">
        <v>69</v>
      </c>
    </row>
    <row r="27" spans="2:7" s="28" customFormat="1" ht="12.75" customHeight="1">
      <c r="B27" s="28" t="s">
        <v>354</v>
      </c>
      <c r="E27" s="28" t="s">
        <v>356</v>
      </c>
      <c r="F27" s="287"/>
      <c r="G27" s="287" t="s">
        <v>132</v>
      </c>
    </row>
    <row r="28" spans="2:5" s="28" customFormat="1" ht="12.75" customHeight="1">
      <c r="B28" s="28" t="s">
        <v>355</v>
      </c>
      <c r="C28" s="23" t="s">
        <v>358</v>
      </c>
      <c r="E28" s="28" t="s">
        <v>357</v>
      </c>
    </row>
    <row r="30" spans="3:7" ht="15.75">
      <c r="C30" s="289">
        <v>4</v>
      </c>
      <c r="E30" s="38">
        <v>0.3</v>
      </c>
      <c r="F30" s="37"/>
      <c r="G30" s="37">
        <f>C30*E30</f>
        <v>1.2</v>
      </c>
    </row>
    <row r="34" spans="2:7" s="64" customFormat="1" ht="15.75">
      <c r="B34" s="64" t="s">
        <v>359</v>
      </c>
      <c r="E34" s="290">
        <f>F12+G21+G30</f>
        <v>7.134080000000001</v>
      </c>
      <c r="F34" s="291"/>
      <c r="G34" s="64" t="s">
        <v>132</v>
      </c>
    </row>
    <row r="42" spans="3:6" ht="15.75">
      <c r="C42" s="36" t="s">
        <v>68</v>
      </c>
      <c r="F42" s="36" t="s">
        <v>391</v>
      </c>
    </row>
    <row r="43" spans="2:6" ht="15.75">
      <c r="B43" s="178"/>
      <c r="C43" s="178"/>
      <c r="D43" s="178"/>
      <c r="E43" s="178"/>
      <c r="F43" s="178"/>
    </row>
    <row r="44" spans="2:6" ht="15.75">
      <c r="B44" s="178"/>
      <c r="C44" s="178"/>
      <c r="D44" s="178"/>
      <c r="E44" s="178"/>
      <c r="F44" s="178"/>
    </row>
    <row r="45" spans="2:6" ht="15.75">
      <c r="B45" s="178"/>
      <c r="C45" s="178"/>
      <c r="D45" s="178"/>
      <c r="E45" s="178"/>
      <c r="F45" s="178"/>
    </row>
    <row r="46" spans="2:6" ht="15.75">
      <c r="B46" s="178"/>
      <c r="C46" s="178"/>
      <c r="D46" s="178"/>
      <c r="E46" s="178"/>
      <c r="F46" s="178"/>
    </row>
  </sheetData>
  <printOptions horizontalCentered="1"/>
  <pageMargins left="0.5905511811023623" right="0" top="0.7874015748031497" bottom="0.3937007874015748" header="0" footer="0"/>
  <pageSetup blackAndWhite="1"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workbookViewId="0" topLeftCell="A1">
      <selection activeCell="E15" sqref="E15"/>
    </sheetView>
  </sheetViews>
  <sheetFormatPr defaultColWidth="8.88671875" defaultRowHeight="15"/>
  <cols>
    <col min="1" max="1" width="16.88671875" style="5" customWidth="1"/>
    <col min="2" max="2" width="10.99609375" style="5" customWidth="1"/>
    <col min="3" max="3" width="10.21484375" style="5" customWidth="1"/>
    <col min="4" max="4" width="10.99609375" style="5" customWidth="1"/>
    <col min="5" max="5" width="11.10546875" style="5" customWidth="1"/>
    <col min="6" max="6" width="18.10546875" style="5" customWidth="1"/>
    <col min="7" max="7" width="5.88671875" style="5" customWidth="1"/>
    <col min="8" max="8" width="6.6640625" style="5" customWidth="1"/>
    <col min="9" max="9" width="5.88671875" style="5" customWidth="1"/>
    <col min="10" max="10" width="6.5546875" style="5" customWidth="1"/>
    <col min="11" max="11" width="5.88671875" style="5" customWidth="1"/>
    <col min="12" max="12" width="7.10546875" style="5" customWidth="1"/>
    <col min="13" max="13" width="5.88671875" style="5" customWidth="1"/>
    <col min="14" max="14" width="7.77734375" style="5" customWidth="1"/>
    <col min="15" max="15" width="5.88671875" style="5" customWidth="1"/>
    <col min="16" max="16" width="8.5546875" style="5" customWidth="1"/>
    <col min="17" max="17" width="7.88671875" style="5" customWidth="1"/>
    <col min="18" max="16384" width="8.88671875" style="5" customWidth="1"/>
  </cols>
  <sheetData>
    <row r="2" spans="1:17" ht="15.75">
      <c r="A2" s="467" t="s">
        <v>208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</row>
    <row r="3" spans="1:17" ht="15.75">
      <c r="A3" s="467" t="s">
        <v>209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</row>
    <row r="4" spans="2:15" ht="42.75" customHeight="1">
      <c r="B4" s="6"/>
      <c r="C4" s="6"/>
      <c r="D4" s="6"/>
      <c r="F4" s="6"/>
      <c r="G4" s="7"/>
      <c r="H4" s="3"/>
      <c r="I4" s="3"/>
      <c r="J4" s="3"/>
      <c r="L4" s="3"/>
      <c r="O4" s="6"/>
    </row>
    <row r="5" spans="1:17" s="22" customFormat="1" ht="12">
      <c r="A5" s="39"/>
      <c r="B5" s="478" t="s">
        <v>454</v>
      </c>
      <c r="C5" s="473"/>
      <c r="D5" s="474"/>
      <c r="E5" s="472" t="s">
        <v>395</v>
      </c>
      <c r="F5" s="473"/>
      <c r="G5" s="474"/>
      <c r="H5" s="40"/>
      <c r="I5" s="41"/>
      <c r="J5" s="41" t="s">
        <v>207</v>
      </c>
      <c r="K5" s="41"/>
      <c r="L5" s="42"/>
      <c r="M5" s="42"/>
      <c r="N5" s="43"/>
      <c r="O5" s="44"/>
      <c r="P5" s="469" t="s">
        <v>200</v>
      </c>
      <c r="Q5" s="469" t="s">
        <v>202</v>
      </c>
    </row>
    <row r="6" spans="1:17" s="22" customFormat="1" ht="12">
      <c r="A6" s="45" t="s">
        <v>121</v>
      </c>
      <c r="B6" s="476" t="s">
        <v>199</v>
      </c>
      <c r="C6" s="476"/>
      <c r="D6" s="477"/>
      <c r="E6" s="475"/>
      <c r="F6" s="476"/>
      <c r="G6" s="477"/>
      <c r="H6" s="46" t="s">
        <v>206</v>
      </c>
      <c r="I6" s="46"/>
      <c r="J6" s="47" t="s">
        <v>205</v>
      </c>
      <c r="K6" s="47"/>
      <c r="L6" s="46" t="s">
        <v>204</v>
      </c>
      <c r="M6" s="46"/>
      <c r="N6" s="48" t="s">
        <v>203</v>
      </c>
      <c r="O6" s="48"/>
      <c r="P6" s="470"/>
      <c r="Q6" s="470"/>
    </row>
    <row r="7" spans="1:17" s="22" customFormat="1" ht="12">
      <c r="A7" s="49"/>
      <c r="B7" s="50" t="s">
        <v>92</v>
      </c>
      <c r="C7" s="51" t="s">
        <v>166</v>
      </c>
      <c r="D7" s="51" t="s">
        <v>98</v>
      </c>
      <c r="E7" s="52" t="s">
        <v>92</v>
      </c>
      <c r="F7" s="51" t="s">
        <v>166</v>
      </c>
      <c r="G7" s="51" t="s">
        <v>98</v>
      </c>
      <c r="H7" s="52" t="s">
        <v>92</v>
      </c>
      <c r="I7" s="53" t="s">
        <v>10</v>
      </c>
      <c r="J7" s="52" t="s">
        <v>92</v>
      </c>
      <c r="K7" s="52" t="s">
        <v>10</v>
      </c>
      <c r="L7" s="54" t="s">
        <v>92</v>
      </c>
      <c r="M7" s="53" t="s">
        <v>10</v>
      </c>
      <c r="N7" s="55" t="s">
        <v>92</v>
      </c>
      <c r="O7" s="55" t="s">
        <v>10</v>
      </c>
      <c r="P7" s="471"/>
      <c r="Q7" s="471" t="s">
        <v>126</v>
      </c>
    </row>
    <row r="8" spans="1:17" ht="15">
      <c r="A8" s="17" t="s">
        <v>201</v>
      </c>
      <c r="B8" s="17"/>
      <c r="C8" s="17"/>
      <c r="D8" s="17"/>
      <c r="E8" s="18"/>
      <c r="F8" s="18"/>
      <c r="G8" s="18"/>
      <c r="H8" s="19"/>
      <c r="I8" s="19"/>
      <c r="J8" s="19"/>
      <c r="K8" s="19"/>
      <c r="L8" s="19"/>
      <c r="M8" s="19"/>
      <c r="N8" s="16"/>
      <c r="O8" s="16"/>
      <c r="P8" s="20"/>
      <c r="Q8" s="21"/>
    </row>
    <row r="9" spans="1:17" ht="15">
      <c r="A9" s="17" t="s">
        <v>455</v>
      </c>
      <c r="B9" s="109">
        <v>4264.65</v>
      </c>
      <c r="C9" s="56">
        <v>22.54</v>
      </c>
      <c r="D9" s="56">
        <f>(B9*C9)/1000</f>
        <v>96.12521099999998</v>
      </c>
      <c r="E9" s="109">
        <v>18900</v>
      </c>
      <c r="F9" s="57">
        <f>22.54*1.083</f>
        <v>24.410819999999998</v>
      </c>
      <c r="G9" s="56">
        <f>(E9*F9)/1000</f>
        <v>461.36449799999997</v>
      </c>
      <c r="H9" s="109">
        <f>E9/242*90</f>
        <v>7028.925619834711</v>
      </c>
      <c r="I9" s="56">
        <f>(H9*15.09)/1000</f>
        <v>106.0664876033058</v>
      </c>
      <c r="J9" s="109">
        <f>E9/242*45</f>
        <v>3514.4628099173556</v>
      </c>
      <c r="K9" s="56">
        <f>(J9*15.09)/1000</f>
        <v>53.0332438016529</v>
      </c>
      <c r="L9" s="109">
        <f>E9/242*15</f>
        <v>1171.4876033057851</v>
      </c>
      <c r="M9" s="56">
        <f>(L9*15.09)/1000</f>
        <v>17.677747933884298</v>
      </c>
      <c r="N9" s="109">
        <f>E9/242*92</f>
        <v>7185.123966942149</v>
      </c>
      <c r="O9" s="56">
        <f>(N9*15.09)/1000</f>
        <v>108.42352066115703</v>
      </c>
      <c r="P9" s="58">
        <f>P11+P12</f>
        <v>5.2347478991596645</v>
      </c>
      <c r="Q9" s="58">
        <f>Q11+Q12</f>
        <v>0.21811449579831932</v>
      </c>
    </row>
    <row r="10" spans="1:17" ht="15">
      <c r="A10" s="17" t="s">
        <v>119</v>
      </c>
      <c r="B10" s="109"/>
      <c r="C10" s="59"/>
      <c r="D10" s="56"/>
      <c r="E10" s="109"/>
      <c r="F10" s="57"/>
      <c r="G10" s="56"/>
      <c r="H10" s="109"/>
      <c r="I10" s="56"/>
      <c r="J10" s="109"/>
      <c r="K10" s="56"/>
      <c r="L10" s="109"/>
      <c r="M10" s="56"/>
      <c r="N10" s="109"/>
      <c r="O10" s="56"/>
      <c r="P10" s="58"/>
      <c r="Q10" s="15"/>
    </row>
    <row r="11" spans="1:17" ht="15">
      <c r="A11" s="17" t="s">
        <v>451</v>
      </c>
      <c r="B11" s="109">
        <v>3086.64</v>
      </c>
      <c r="C11" s="56">
        <v>22.54</v>
      </c>
      <c r="D11" s="56">
        <f>(B11*C11)/1000</f>
        <v>69.57286559999999</v>
      </c>
      <c r="E11" s="109">
        <v>713.3</v>
      </c>
      <c r="F11" s="57">
        <f>22.54*1.083</f>
        <v>24.410819999999998</v>
      </c>
      <c r="G11" s="56">
        <f>(E11*F11)/1000</f>
        <v>17.412237905999998</v>
      </c>
      <c r="H11" s="109">
        <f>E11/242*90</f>
        <v>265.27685950413223</v>
      </c>
      <c r="I11" s="56">
        <f>(H11*15.09)/1000</f>
        <v>4.003027809917355</v>
      </c>
      <c r="J11" s="109">
        <f>E11/242*45</f>
        <v>132.63842975206612</v>
      </c>
      <c r="K11" s="56">
        <f>(J11*15.09)/1000</f>
        <v>2.0015139049586774</v>
      </c>
      <c r="L11" s="109">
        <f>E11/242*15</f>
        <v>44.21280991735537</v>
      </c>
      <c r="M11" s="56">
        <f>(L11*15.09)/1000</f>
        <v>0.6671713016528925</v>
      </c>
      <c r="N11" s="109">
        <f>E11/242*92</f>
        <v>271.1719008264463</v>
      </c>
      <c r="O11" s="56">
        <f>(N11*15.09)/1000</f>
        <v>4.091983983471074</v>
      </c>
      <c r="P11" s="58">
        <f>E11/238</f>
        <v>2.9970588235294118</v>
      </c>
      <c r="Q11" s="56">
        <f>P11/24</f>
        <v>0.12487745098039216</v>
      </c>
    </row>
    <row r="12" spans="1:17" ht="15">
      <c r="A12" s="17" t="s">
        <v>452</v>
      </c>
      <c r="B12" s="109">
        <v>1178.01</v>
      </c>
      <c r="C12" s="56">
        <v>22.54</v>
      </c>
      <c r="D12" s="56">
        <f>(B12*C12)/1000</f>
        <v>26.5523454</v>
      </c>
      <c r="E12" s="109">
        <v>532.57</v>
      </c>
      <c r="F12" s="57">
        <f>22.54*1.083</f>
        <v>24.410819999999998</v>
      </c>
      <c r="G12" s="56">
        <f>(E12*F12)/1000</f>
        <v>13.0004704074</v>
      </c>
      <c r="H12" s="109">
        <f>E12/242*90</f>
        <v>198.06322314049586</v>
      </c>
      <c r="I12" s="56">
        <f>(H12*15.09)/1000</f>
        <v>2.988774037190083</v>
      </c>
      <c r="J12" s="109">
        <f>E12/242*45</f>
        <v>99.03161157024793</v>
      </c>
      <c r="K12" s="56">
        <f>(J12*15.09)/1000</f>
        <v>1.4943870185950414</v>
      </c>
      <c r="L12" s="109">
        <f>E12/242*15</f>
        <v>33.010537190082644</v>
      </c>
      <c r="M12" s="56">
        <f>(L12*15.09)/1000</f>
        <v>0.4981290061983471</v>
      </c>
      <c r="N12" s="109">
        <f>E12/242*92</f>
        <v>202.46462809917355</v>
      </c>
      <c r="O12" s="56">
        <f>(N12*15.09)/1000</f>
        <v>3.055191238016529</v>
      </c>
      <c r="P12" s="58">
        <f>E12/238</f>
        <v>2.2376890756302523</v>
      </c>
      <c r="Q12" s="56">
        <f>P12/24</f>
        <v>0.09323704481792718</v>
      </c>
    </row>
    <row r="13" spans="1:17" ht="15">
      <c r="A13" s="17" t="s">
        <v>453</v>
      </c>
      <c r="B13" s="109"/>
      <c r="C13" s="56"/>
      <c r="D13" s="56"/>
      <c r="E13" s="109">
        <f>E9-E11-E12</f>
        <v>17654.13</v>
      </c>
      <c r="F13" s="57"/>
      <c r="G13" s="56"/>
      <c r="H13" s="109"/>
      <c r="I13" s="56"/>
      <c r="J13" s="109"/>
      <c r="K13" s="56"/>
      <c r="L13" s="109"/>
      <c r="M13" s="56"/>
      <c r="N13" s="109"/>
      <c r="O13" s="56"/>
      <c r="P13" s="58"/>
      <c r="Q13" s="56"/>
    </row>
    <row r="14" spans="5:17" ht="15">
      <c r="E14" s="110">
        <f>SUM(E11:E13)</f>
        <v>18900</v>
      </c>
      <c r="G14" s="111">
        <f>SUM(G11:G12)</f>
        <v>30.412708313399996</v>
      </c>
      <c r="H14" s="111">
        <f aca="true" t="shared" si="0" ref="H14:Q14">SUM(H11:H12)</f>
        <v>463.34008264462807</v>
      </c>
      <c r="I14" s="111">
        <f t="shared" si="0"/>
        <v>6.991801847107437</v>
      </c>
      <c r="J14" s="111">
        <f t="shared" si="0"/>
        <v>231.67004132231403</v>
      </c>
      <c r="K14" s="111">
        <f t="shared" si="0"/>
        <v>3.4959009235537186</v>
      </c>
      <c r="L14" s="111">
        <f t="shared" si="0"/>
        <v>77.22334710743802</v>
      </c>
      <c r="M14" s="111">
        <f t="shared" si="0"/>
        <v>1.1653003078512396</v>
      </c>
      <c r="N14" s="111">
        <f t="shared" si="0"/>
        <v>473.6365289256198</v>
      </c>
      <c r="O14" s="111">
        <f t="shared" si="0"/>
        <v>7.147175221487603</v>
      </c>
      <c r="P14" s="111">
        <f t="shared" si="0"/>
        <v>5.2347478991596645</v>
      </c>
      <c r="Q14" s="111">
        <f t="shared" si="0"/>
        <v>0.21811449579831932</v>
      </c>
    </row>
    <row r="18" spans="2:8" ht="15">
      <c r="B18" s="12"/>
      <c r="C18" s="12"/>
      <c r="D18" s="11"/>
      <c r="E18" s="11"/>
      <c r="F18" s="11"/>
      <c r="G18" s="12"/>
      <c r="H18" s="11"/>
    </row>
    <row r="19" spans="2:11" ht="15">
      <c r="B19" s="12"/>
      <c r="C19" s="11"/>
      <c r="D19" s="11"/>
      <c r="E19" s="12"/>
      <c r="F19" s="12" t="s">
        <v>68</v>
      </c>
      <c r="G19" s="12"/>
      <c r="H19" s="11"/>
      <c r="I19" s="11"/>
      <c r="J19" s="10" t="s">
        <v>39</v>
      </c>
      <c r="K19" s="10"/>
    </row>
    <row r="31" spans="1:6" s="36" customFormat="1" ht="15.75">
      <c r="A31" s="460" t="s">
        <v>226</v>
      </c>
      <c r="B31" s="460"/>
      <c r="C31" s="460"/>
      <c r="D31" s="460"/>
      <c r="E31" s="460"/>
      <c r="F31" s="460"/>
    </row>
    <row r="32" s="36" customFormat="1" ht="15.75"/>
    <row r="33" s="36" customFormat="1" ht="15.75"/>
    <row r="34" s="36" customFormat="1" ht="15.75"/>
    <row r="35" spans="1:6" s="60" customFormat="1" ht="36.75" customHeight="1">
      <c r="A35" s="61" t="s">
        <v>230</v>
      </c>
      <c r="B35" s="61" t="s">
        <v>312</v>
      </c>
      <c r="C35" s="61" t="s">
        <v>313</v>
      </c>
      <c r="D35" s="61" t="s">
        <v>227</v>
      </c>
      <c r="E35" s="61" t="s">
        <v>228</v>
      </c>
      <c r="F35" s="61" t="s">
        <v>229</v>
      </c>
    </row>
    <row r="36" spans="1:6" s="36" customFormat="1" ht="38.25" customHeight="1">
      <c r="A36" s="30" t="s">
        <v>408</v>
      </c>
      <c r="B36" s="29" t="s">
        <v>409</v>
      </c>
      <c r="C36" s="31">
        <v>27000</v>
      </c>
      <c r="D36" s="112">
        <v>31.52</v>
      </c>
      <c r="E36" s="112">
        <f>(C36*D36)/1000</f>
        <v>851.04</v>
      </c>
      <c r="F36" s="371" t="s">
        <v>410</v>
      </c>
    </row>
    <row r="37" s="36" customFormat="1" ht="15.75"/>
    <row r="38" s="36" customFormat="1" ht="15.75"/>
    <row r="39" s="36" customFormat="1" ht="15.75"/>
    <row r="40" s="36" customFormat="1" ht="15.75"/>
    <row r="41" s="36" customFormat="1" ht="15.75"/>
    <row r="42" s="36" customFormat="1" ht="15.75"/>
    <row r="43" spans="3:5" s="36" customFormat="1" ht="15.75">
      <c r="C43" s="372" t="s">
        <v>411</v>
      </c>
      <c r="D43" s="62"/>
      <c r="E43" s="36" t="s">
        <v>412</v>
      </c>
    </row>
    <row r="44" s="36" customFormat="1" ht="15.75">
      <c r="C44" s="63"/>
    </row>
    <row r="45" s="36" customFormat="1" ht="15.75">
      <c r="C45" s="63"/>
    </row>
    <row r="46" spans="2:4" s="36" customFormat="1" ht="15.75">
      <c r="B46" s="38"/>
      <c r="C46" s="38"/>
      <c r="D46" s="63"/>
    </row>
    <row r="47" s="36" customFormat="1" ht="15.75"/>
    <row r="48" s="36" customFormat="1" ht="15.75"/>
    <row r="49" s="36" customFormat="1" ht="15.75"/>
    <row r="50" s="36" customFormat="1" ht="15.75"/>
    <row r="51" s="36" customFormat="1" ht="15.75"/>
    <row r="52" s="36" customFormat="1" ht="15.75"/>
    <row r="53" s="36" customFormat="1" ht="15.75"/>
    <row r="54" s="36" customFormat="1" ht="15.75"/>
    <row r="55" s="36" customFormat="1" ht="15.75"/>
    <row r="56" s="36" customFormat="1" ht="15.75"/>
    <row r="57" s="36" customFormat="1" ht="15.75"/>
    <row r="58" s="36" customFormat="1" ht="15.75"/>
    <row r="59" s="36" customFormat="1" ht="15.75"/>
    <row r="60" s="36" customFormat="1" ht="15.75"/>
    <row r="61" s="36" customFormat="1" ht="15.75"/>
    <row r="62" s="36" customFormat="1" ht="15.75"/>
    <row r="63" s="36" customFormat="1" ht="15.75"/>
    <row r="64" s="36" customFormat="1" ht="15.75"/>
    <row r="65" s="36" customFormat="1" ht="15.75"/>
    <row r="66" s="36" customFormat="1" ht="15.75"/>
    <row r="67" s="36" customFormat="1" ht="15.75"/>
    <row r="68" s="36" customFormat="1" ht="15.75"/>
    <row r="69" s="36" customFormat="1" ht="15.75"/>
    <row r="70" s="36" customFormat="1" ht="15.75"/>
    <row r="71" s="36" customFormat="1" ht="15.75"/>
    <row r="72" s="36" customFormat="1" ht="15.75"/>
    <row r="73" s="36" customFormat="1" ht="15.75"/>
    <row r="74" s="36" customFormat="1" ht="15.75"/>
    <row r="75" s="36" customFormat="1" ht="15.75"/>
    <row r="76" s="36" customFormat="1" ht="15.75"/>
    <row r="77" s="36" customFormat="1" ht="15.75"/>
    <row r="78" s="36" customFormat="1" ht="15.75"/>
    <row r="79" s="36" customFormat="1" ht="15.75"/>
    <row r="80" s="36" customFormat="1" ht="15.75"/>
    <row r="81" s="36" customFormat="1" ht="15.75"/>
    <row r="82" s="36" customFormat="1" ht="15.75"/>
    <row r="83" s="36" customFormat="1" ht="15.75"/>
    <row r="84" s="36" customFormat="1" ht="15.75"/>
    <row r="85" s="36" customFormat="1" ht="15.75"/>
    <row r="86" s="36" customFormat="1" ht="15.75"/>
    <row r="87" s="36" customFormat="1" ht="15.75"/>
    <row r="88" s="36" customFormat="1" ht="15.75"/>
    <row r="89" s="36" customFormat="1" ht="15.75"/>
    <row r="90" s="36" customFormat="1" ht="15.75"/>
    <row r="91" s="36" customFormat="1" ht="15.75"/>
    <row r="92" s="36" customFormat="1" ht="15.75"/>
    <row r="93" s="36" customFormat="1" ht="15.75"/>
  </sheetData>
  <mergeCells count="7">
    <mergeCell ref="A31:F31"/>
    <mergeCell ref="A2:Q2"/>
    <mergeCell ref="A3:Q3"/>
    <mergeCell ref="P5:P7"/>
    <mergeCell ref="Q5:Q7"/>
    <mergeCell ref="E5:G6"/>
    <mergeCell ref="B5:D6"/>
  </mergeCells>
  <printOptions horizontalCentered="1"/>
  <pageMargins left="0.7874015748031497" right="0" top="0.7874015748031497" bottom="0.3937007874015748" header="0" footer="0"/>
  <pageSetup fitToHeight="1" fitToWidth="1" horizontalDpi="600" verticalDpi="600" orientation="portrait" paperSize="9" scale="52" r:id="rId1"/>
  <ignoredErrors>
    <ignoredError sqref="G11:G12 D11:D12 F11:F12 H11:I12 K11:K12 M11:M12 O11:O12 O9:O10 M9:M10 K9:K10 H9:I10 F9:F10 D9:D10 G9:G10 Q11:Q12 E13" unlockedFormula="1"/>
    <ignoredError sqref="J9:J12 L9:L12 N9:N1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87"/>
  <sheetViews>
    <sheetView workbookViewId="0" topLeftCell="A7">
      <selection activeCell="B9" sqref="B9"/>
    </sheetView>
  </sheetViews>
  <sheetFormatPr defaultColWidth="8.88671875" defaultRowHeight="15"/>
  <cols>
    <col min="1" max="1" width="3.4453125" style="36" customWidth="1"/>
    <col min="2" max="2" width="32.10546875" style="36" customWidth="1"/>
    <col min="3" max="3" width="7.88671875" style="36" customWidth="1"/>
    <col min="4" max="4" width="7.5546875" style="36" customWidth="1"/>
    <col min="5" max="5" width="10.99609375" style="36" customWidth="1"/>
    <col min="6" max="6" width="9.4453125" style="36" customWidth="1"/>
    <col min="7" max="7" width="9.77734375" style="36" customWidth="1"/>
    <col min="8" max="8" width="7.5546875" style="36" customWidth="1"/>
    <col min="9" max="9" width="7.4453125" style="36" customWidth="1"/>
    <col min="10" max="11" width="7.21484375" style="36" customWidth="1"/>
    <col min="12" max="12" width="9.88671875" style="23" customWidth="1"/>
    <col min="13" max="16384" width="8.88671875" style="36" customWidth="1"/>
  </cols>
  <sheetData>
    <row r="1" spans="1:20" ht="15.75">
      <c r="A1" s="63"/>
      <c r="B1" s="125"/>
      <c r="C1" s="126"/>
      <c r="D1" s="127"/>
      <c r="E1" s="128"/>
      <c r="F1" s="128"/>
      <c r="G1" s="440" t="s">
        <v>38</v>
      </c>
      <c r="I1" s="130"/>
      <c r="J1" s="131"/>
      <c r="K1" s="132"/>
      <c r="L1" s="27"/>
      <c r="M1" s="27"/>
      <c r="N1" s="27"/>
      <c r="O1" s="27"/>
      <c r="P1" s="27"/>
      <c r="Q1" s="27"/>
      <c r="R1" s="63"/>
      <c r="S1" s="63"/>
      <c r="T1" s="63"/>
    </row>
    <row r="2" spans="1:35" ht="15.75">
      <c r="A2" s="27"/>
      <c r="B2" s="133" t="s">
        <v>120</v>
      </c>
      <c r="C2" s="134"/>
      <c r="D2" s="130"/>
      <c r="E2" s="131"/>
      <c r="F2" s="134"/>
      <c r="G2" s="440" t="s">
        <v>426</v>
      </c>
      <c r="I2" s="130"/>
      <c r="J2" s="131"/>
      <c r="K2" s="129"/>
      <c r="L2" s="27"/>
      <c r="M2" s="27"/>
      <c r="N2" s="27"/>
      <c r="O2" s="27"/>
      <c r="P2" s="27"/>
      <c r="Q2" s="27"/>
      <c r="R2" s="63"/>
      <c r="S2" s="63"/>
      <c r="T2" s="63"/>
      <c r="AI2" s="64"/>
    </row>
    <row r="3" spans="1:20" ht="28.5" customHeight="1">
      <c r="A3" s="27"/>
      <c r="B3" s="135"/>
      <c r="C3" s="134"/>
      <c r="D3" s="130"/>
      <c r="E3" s="131"/>
      <c r="F3" s="134"/>
      <c r="G3" s="440" t="s">
        <v>418</v>
      </c>
      <c r="I3" s="134"/>
      <c r="J3" s="134"/>
      <c r="K3" s="129"/>
      <c r="L3" s="27"/>
      <c r="M3" s="27"/>
      <c r="N3" s="27"/>
      <c r="O3" s="27"/>
      <c r="P3" s="27"/>
      <c r="Q3" s="27"/>
      <c r="R3" s="63"/>
      <c r="S3" s="63"/>
      <c r="T3" s="63"/>
    </row>
    <row r="4" spans="1:51" ht="15.75">
      <c r="A4" s="27"/>
      <c r="B4" s="125"/>
      <c r="C4" s="134"/>
      <c r="D4" s="134"/>
      <c r="E4" s="134"/>
      <c r="F4" s="134"/>
      <c r="G4" s="440" t="s">
        <v>427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114"/>
      <c r="AM4" s="23"/>
      <c r="AN4" s="23"/>
      <c r="AO4" s="23"/>
      <c r="AP4" s="114"/>
      <c r="AQ4" s="64"/>
      <c r="AR4" s="23"/>
      <c r="AS4" s="23"/>
      <c r="AT4" s="23"/>
      <c r="AU4" s="23"/>
      <c r="AV4" s="23"/>
      <c r="AW4" s="23"/>
      <c r="AX4" s="23"/>
      <c r="AY4" s="23"/>
    </row>
    <row r="5" spans="1:51" ht="39.75" customHeight="1">
      <c r="A5" s="27"/>
      <c r="B5" s="125"/>
      <c r="C5" s="134"/>
      <c r="D5" s="134"/>
      <c r="E5" s="134"/>
      <c r="F5" s="134"/>
      <c r="G5" s="134"/>
      <c r="H5" s="129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114"/>
      <c r="AM5" s="23"/>
      <c r="AN5" s="23"/>
      <c r="AO5" s="23"/>
      <c r="AP5" s="114"/>
      <c r="AQ5" s="64"/>
      <c r="AR5" s="23"/>
      <c r="AS5" s="23"/>
      <c r="AT5" s="23"/>
      <c r="AU5" s="23"/>
      <c r="AV5" s="23"/>
      <c r="AW5" s="23"/>
      <c r="AX5" s="23"/>
      <c r="AY5" s="23"/>
    </row>
    <row r="6" spans="1:51" ht="15.75">
      <c r="A6" s="27"/>
      <c r="B6" s="136" t="s">
        <v>456</v>
      </c>
      <c r="C6" s="134"/>
      <c r="D6" s="134"/>
      <c r="E6" s="134"/>
      <c r="F6" s="134"/>
      <c r="G6" s="134"/>
      <c r="H6" s="129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114"/>
      <c r="AM6" s="23"/>
      <c r="AN6" s="23"/>
      <c r="AO6" s="23"/>
      <c r="AP6" s="114"/>
      <c r="AQ6" s="64"/>
      <c r="AR6" s="23"/>
      <c r="AS6" s="23"/>
      <c r="AT6" s="23"/>
      <c r="AU6" s="23"/>
      <c r="AV6" s="23"/>
      <c r="AW6" s="23"/>
      <c r="AX6" s="23"/>
      <c r="AY6" s="23"/>
    </row>
    <row r="7" spans="1:43" ht="18.75">
      <c r="A7" s="122"/>
      <c r="B7" s="137"/>
      <c r="C7" s="138"/>
      <c r="D7" s="138"/>
      <c r="E7" s="139"/>
      <c r="F7" s="139"/>
      <c r="G7" s="132"/>
      <c r="H7" s="140"/>
      <c r="I7" s="139"/>
      <c r="J7" s="141"/>
      <c r="K7" s="129"/>
      <c r="L7" s="27"/>
      <c r="M7" s="27"/>
      <c r="N7" s="27"/>
      <c r="O7" s="27"/>
      <c r="P7" s="27"/>
      <c r="Q7" s="27"/>
      <c r="R7" s="63"/>
      <c r="S7" s="63"/>
      <c r="T7" s="63"/>
      <c r="U7" s="114"/>
      <c r="Y7" s="64"/>
      <c r="Z7" s="64"/>
      <c r="AL7" s="64"/>
      <c r="AP7" s="114"/>
      <c r="AQ7" s="64"/>
    </row>
    <row r="8" spans="1:43" ht="18.75">
      <c r="A8" s="122"/>
      <c r="B8" s="137"/>
      <c r="C8" s="142" t="s">
        <v>225</v>
      </c>
      <c r="D8" s="138"/>
      <c r="E8" s="139"/>
      <c r="F8" s="139"/>
      <c r="G8" s="132"/>
      <c r="H8" s="140"/>
      <c r="I8" s="139"/>
      <c r="J8" s="141"/>
      <c r="K8" s="129"/>
      <c r="L8" s="27"/>
      <c r="M8" s="27"/>
      <c r="N8" s="27"/>
      <c r="O8" s="27"/>
      <c r="P8" s="27"/>
      <c r="Q8" s="27"/>
      <c r="R8" s="63"/>
      <c r="S8" s="63"/>
      <c r="T8" s="63"/>
      <c r="U8" s="114"/>
      <c r="Y8" s="64"/>
      <c r="Z8" s="64"/>
      <c r="AL8" s="64"/>
      <c r="AP8" s="114"/>
      <c r="AQ8" s="64"/>
    </row>
    <row r="9" spans="1:43" ht="15.75">
      <c r="A9" s="122"/>
      <c r="B9" s="143"/>
      <c r="C9" s="144"/>
      <c r="D9" s="144"/>
      <c r="E9" s="144"/>
      <c r="F9" s="144"/>
      <c r="G9" s="144"/>
      <c r="H9" s="144"/>
      <c r="I9" s="144"/>
      <c r="J9" s="145"/>
      <c r="K9" s="129"/>
      <c r="L9" s="27"/>
      <c r="M9" s="27"/>
      <c r="N9" s="27"/>
      <c r="O9" s="27"/>
      <c r="P9" s="27"/>
      <c r="Q9" s="27"/>
      <c r="R9" s="27"/>
      <c r="S9" s="27"/>
      <c r="T9" s="27"/>
      <c r="U9" s="23"/>
      <c r="V9" s="146"/>
      <c r="W9" s="23"/>
      <c r="X9" s="23"/>
      <c r="Y9" s="147"/>
      <c r="Z9" s="148"/>
      <c r="AL9" s="64"/>
      <c r="AM9" s="149"/>
      <c r="AN9" s="23"/>
      <c r="AO9" s="23"/>
      <c r="AP9" s="147"/>
      <c r="AQ9" s="148"/>
    </row>
    <row r="10" spans="1:43" ht="15.75">
      <c r="A10" s="122"/>
      <c r="B10" s="150"/>
      <c r="C10" s="151"/>
      <c r="D10" s="151"/>
      <c r="E10" s="151"/>
      <c r="F10" s="152"/>
      <c r="G10" s="153"/>
      <c r="H10" s="129"/>
      <c r="I10" s="138"/>
      <c r="J10" s="145"/>
      <c r="K10" s="129"/>
      <c r="L10" s="27"/>
      <c r="M10" s="27"/>
      <c r="N10" s="27"/>
      <c r="O10" s="27"/>
      <c r="P10" s="27"/>
      <c r="Q10" s="27"/>
      <c r="R10" s="27"/>
      <c r="S10" s="27"/>
      <c r="T10" s="27"/>
      <c r="U10" s="23"/>
      <c r="V10" s="154"/>
      <c r="W10" s="23"/>
      <c r="X10" s="23"/>
      <c r="Y10" s="147"/>
      <c r="Z10" s="148"/>
      <c r="AL10" s="64"/>
      <c r="AM10" s="149"/>
      <c r="AN10" s="23"/>
      <c r="AO10" s="23"/>
      <c r="AP10" s="147"/>
      <c r="AQ10" s="148"/>
    </row>
    <row r="11" spans="1:43" s="60" customFormat="1" ht="48">
      <c r="A11" s="155" t="s">
        <v>93</v>
      </c>
      <c r="B11" s="156" t="s">
        <v>121</v>
      </c>
      <c r="C11" s="157" t="s">
        <v>212</v>
      </c>
      <c r="D11" s="430" t="s">
        <v>394</v>
      </c>
      <c r="E11" s="430" t="s">
        <v>117</v>
      </c>
      <c r="F11" s="158" t="s">
        <v>123</v>
      </c>
      <c r="G11" s="159" t="s">
        <v>124</v>
      </c>
      <c r="H11" s="160" t="s">
        <v>125</v>
      </c>
      <c r="I11" s="161"/>
      <c r="J11" s="162"/>
      <c r="K11" s="163"/>
      <c r="L11" s="164"/>
      <c r="M11" s="164"/>
      <c r="N11" s="164"/>
      <c r="O11" s="164"/>
      <c r="P11" s="164"/>
      <c r="Q11" s="164"/>
      <c r="R11" s="164"/>
      <c r="S11" s="164"/>
      <c r="T11" s="164"/>
      <c r="V11" s="165"/>
      <c r="Y11" s="166"/>
      <c r="Z11" s="166"/>
      <c r="AL11" s="167"/>
      <c r="AM11" s="168"/>
      <c r="AP11" s="166"/>
      <c r="AQ11" s="166"/>
    </row>
    <row r="12" spans="1:43" s="178" customFormat="1" ht="11.25">
      <c r="A12" s="72">
        <v>1</v>
      </c>
      <c r="B12" s="169">
        <v>2</v>
      </c>
      <c r="C12" s="170">
        <v>3</v>
      </c>
      <c r="D12" s="173">
        <v>4</v>
      </c>
      <c r="E12" s="173">
        <v>5</v>
      </c>
      <c r="F12" s="171">
        <v>6</v>
      </c>
      <c r="G12" s="172">
        <v>7</v>
      </c>
      <c r="H12" s="173">
        <v>8</v>
      </c>
      <c r="I12" s="174"/>
      <c r="J12" s="175"/>
      <c r="K12" s="176"/>
      <c r="L12" s="177"/>
      <c r="M12" s="177"/>
      <c r="N12" s="177"/>
      <c r="O12" s="177"/>
      <c r="P12" s="177"/>
      <c r="Q12" s="177"/>
      <c r="R12" s="177"/>
      <c r="S12" s="177"/>
      <c r="T12" s="177"/>
      <c r="V12" s="179"/>
      <c r="Y12" s="180"/>
      <c r="Z12" s="180"/>
      <c r="AL12" s="181"/>
      <c r="AM12" s="182"/>
      <c r="AP12" s="180"/>
      <c r="AQ12" s="180"/>
    </row>
    <row r="13" spans="1:43" ht="15.75">
      <c r="A13" s="24" t="s">
        <v>133</v>
      </c>
      <c r="B13" s="183" t="s">
        <v>213</v>
      </c>
      <c r="C13" s="184" t="s">
        <v>218</v>
      </c>
      <c r="D13" s="421">
        <f>G40</f>
        <v>18900</v>
      </c>
      <c r="E13" s="185">
        <f>D13/254*90</f>
        <v>6696.850393700788</v>
      </c>
      <c r="F13" s="185">
        <f>D13/254*57</f>
        <v>4241.3385826771655</v>
      </c>
      <c r="G13" s="186">
        <f>D13/254*15</f>
        <v>1116.1417322834648</v>
      </c>
      <c r="H13" s="187">
        <f>D13/254*92</f>
        <v>6845.669291338583</v>
      </c>
      <c r="I13" s="188"/>
      <c r="J13" s="145"/>
      <c r="K13" s="129"/>
      <c r="L13" s="27"/>
      <c r="M13" s="27"/>
      <c r="N13" s="27"/>
      <c r="O13" s="27"/>
      <c r="P13" s="27"/>
      <c r="Q13" s="27"/>
      <c r="R13" s="27"/>
      <c r="S13" s="27"/>
      <c r="T13" s="27"/>
      <c r="U13" s="23"/>
      <c r="V13" s="146"/>
      <c r="W13" s="23"/>
      <c r="X13" s="23"/>
      <c r="Y13" s="147"/>
      <c r="Z13" s="148"/>
      <c r="AL13" s="64"/>
      <c r="AM13" s="149"/>
      <c r="AN13" s="23"/>
      <c r="AO13" s="23"/>
      <c r="AP13" s="147"/>
      <c r="AQ13" s="148"/>
    </row>
    <row r="14" spans="1:43" ht="15.75">
      <c r="A14" s="24" t="s">
        <v>145</v>
      </c>
      <c r="B14" s="189" t="s">
        <v>219</v>
      </c>
      <c r="C14" s="184" t="s">
        <v>218</v>
      </c>
      <c r="D14" s="190">
        <f>D13</f>
        <v>18900</v>
      </c>
      <c r="E14" s="193">
        <f>E13</f>
        <v>6696.850393700788</v>
      </c>
      <c r="F14" s="193">
        <f>F13</f>
        <v>4241.3385826771655</v>
      </c>
      <c r="G14" s="193">
        <f>G13</f>
        <v>1116.1417322834648</v>
      </c>
      <c r="H14" s="193">
        <f>H13</f>
        <v>6845.669291338583</v>
      </c>
      <c r="I14" s="191"/>
      <c r="J14" s="145"/>
      <c r="K14" s="122"/>
      <c r="L14" s="122"/>
      <c r="M14" s="122"/>
      <c r="N14" s="122"/>
      <c r="O14" s="122"/>
      <c r="P14" s="122"/>
      <c r="Q14" s="27"/>
      <c r="R14" s="27"/>
      <c r="S14" s="27"/>
      <c r="T14" s="27"/>
      <c r="U14" s="23"/>
      <c r="V14" s="146"/>
      <c r="W14" s="23"/>
      <c r="X14" s="23"/>
      <c r="Y14" s="147"/>
      <c r="Z14" s="148"/>
      <c r="AL14" s="64"/>
      <c r="AM14" s="149"/>
      <c r="AN14" s="23"/>
      <c r="AO14" s="23"/>
      <c r="AP14" s="147"/>
      <c r="AQ14" s="148"/>
    </row>
    <row r="15" spans="1:43" ht="15.75">
      <c r="A15" s="24" t="s">
        <v>100</v>
      </c>
      <c r="B15" s="189" t="s">
        <v>220</v>
      </c>
      <c r="C15" s="184" t="s">
        <v>218</v>
      </c>
      <c r="D15" s="190" t="s">
        <v>157</v>
      </c>
      <c r="E15" s="190" t="s">
        <v>157</v>
      </c>
      <c r="F15" s="190" t="s">
        <v>157</v>
      </c>
      <c r="G15" s="190" t="s">
        <v>157</v>
      </c>
      <c r="H15" s="190" t="s">
        <v>157</v>
      </c>
      <c r="I15" s="192"/>
      <c r="J15" s="145"/>
      <c r="K15" s="122"/>
      <c r="L15" s="122"/>
      <c r="M15" s="122"/>
      <c r="N15" s="122"/>
      <c r="O15" s="122"/>
      <c r="P15" s="122"/>
      <c r="Q15" s="27"/>
      <c r="R15" s="27"/>
      <c r="S15" s="27"/>
      <c r="T15" s="27"/>
      <c r="U15" s="23"/>
      <c r="V15" s="146"/>
      <c r="W15" s="23"/>
      <c r="X15" s="23"/>
      <c r="Y15" s="147"/>
      <c r="Z15" s="148"/>
      <c r="AL15" s="64"/>
      <c r="AM15" s="149"/>
      <c r="AN15" s="23"/>
      <c r="AO15" s="23"/>
      <c r="AP15" s="147"/>
      <c r="AQ15" s="148"/>
    </row>
    <row r="16" spans="1:43" ht="15.75">
      <c r="A16" s="24" t="s">
        <v>214</v>
      </c>
      <c r="B16" s="189" t="s">
        <v>221</v>
      </c>
      <c r="C16" s="184" t="s">
        <v>218</v>
      </c>
      <c r="D16" s="190" t="s">
        <v>157</v>
      </c>
      <c r="E16" s="190" t="s">
        <v>157</v>
      </c>
      <c r="F16" s="190" t="s">
        <v>157</v>
      </c>
      <c r="G16" s="190" t="s">
        <v>157</v>
      </c>
      <c r="H16" s="190" t="s">
        <v>157</v>
      </c>
      <c r="I16" s="192"/>
      <c r="J16" s="145"/>
      <c r="K16" s="122"/>
      <c r="L16" s="122"/>
      <c r="M16" s="122"/>
      <c r="N16" s="122"/>
      <c r="O16" s="122"/>
      <c r="P16" s="122"/>
      <c r="Q16" s="27"/>
      <c r="R16" s="27"/>
      <c r="S16" s="27"/>
      <c r="T16" s="27"/>
      <c r="U16" s="23"/>
      <c r="V16" s="146"/>
      <c r="W16" s="23"/>
      <c r="X16" s="23"/>
      <c r="Y16" s="147"/>
      <c r="Z16" s="148"/>
      <c r="AL16" s="64"/>
      <c r="AM16" s="149"/>
      <c r="AN16" s="23"/>
      <c r="AO16" s="23"/>
      <c r="AP16" s="147"/>
      <c r="AQ16" s="148"/>
    </row>
    <row r="17" spans="1:43" ht="15.75">
      <c r="A17" s="24" t="s">
        <v>215</v>
      </c>
      <c r="B17" s="189" t="s">
        <v>222</v>
      </c>
      <c r="C17" s="184" t="s">
        <v>218</v>
      </c>
      <c r="D17" s="194" t="s">
        <v>157</v>
      </c>
      <c r="E17" s="194" t="s">
        <v>157</v>
      </c>
      <c r="F17" s="194" t="s">
        <v>157</v>
      </c>
      <c r="G17" s="194" t="s">
        <v>157</v>
      </c>
      <c r="H17" s="194" t="s">
        <v>157</v>
      </c>
      <c r="I17" s="192"/>
      <c r="J17" s="145"/>
      <c r="K17" s="122"/>
      <c r="L17" s="122"/>
      <c r="M17" s="122"/>
      <c r="N17" s="122"/>
      <c r="O17" s="122"/>
      <c r="P17" s="122"/>
      <c r="Q17" s="27"/>
      <c r="R17" s="27"/>
      <c r="S17" s="27"/>
      <c r="T17" s="27"/>
      <c r="U17" s="23"/>
      <c r="V17" s="146"/>
      <c r="W17" s="23"/>
      <c r="X17" s="23"/>
      <c r="Y17" s="147"/>
      <c r="Z17" s="148"/>
      <c r="AL17" s="64"/>
      <c r="AM17" s="149"/>
      <c r="AN17" s="23"/>
      <c r="AO17" s="23"/>
      <c r="AP17" s="147"/>
      <c r="AQ17" s="148"/>
    </row>
    <row r="18" spans="1:43" ht="15.75">
      <c r="A18" s="24" t="s">
        <v>216</v>
      </c>
      <c r="B18" s="195" t="s">
        <v>223</v>
      </c>
      <c r="C18" s="184" t="s">
        <v>218</v>
      </c>
      <c r="D18" s="194" t="s">
        <v>157</v>
      </c>
      <c r="E18" s="194" t="s">
        <v>157</v>
      </c>
      <c r="F18" s="194" t="s">
        <v>157</v>
      </c>
      <c r="G18" s="194" t="s">
        <v>157</v>
      </c>
      <c r="H18" s="194" t="s">
        <v>157</v>
      </c>
      <c r="I18" s="192"/>
      <c r="J18" s="145"/>
      <c r="K18" s="122"/>
      <c r="L18" s="122"/>
      <c r="M18" s="122"/>
      <c r="N18" s="122"/>
      <c r="O18" s="122"/>
      <c r="P18" s="122"/>
      <c r="Q18" s="27"/>
      <c r="R18" s="27"/>
      <c r="S18" s="27"/>
      <c r="T18" s="27"/>
      <c r="U18" s="23"/>
      <c r="V18" s="146"/>
      <c r="W18" s="23"/>
      <c r="X18" s="23"/>
      <c r="Y18" s="147"/>
      <c r="Z18" s="148"/>
      <c r="AL18" s="64"/>
      <c r="AM18" s="149"/>
      <c r="AN18" s="23"/>
      <c r="AO18" s="23"/>
      <c r="AP18" s="147"/>
      <c r="AQ18" s="148"/>
    </row>
    <row r="19" spans="1:43" ht="15.75">
      <c r="A19" s="24" t="s">
        <v>217</v>
      </c>
      <c r="B19" s="196" t="s">
        <v>224</v>
      </c>
      <c r="C19" s="184" t="s">
        <v>218</v>
      </c>
      <c r="D19" s="194" t="s">
        <v>157</v>
      </c>
      <c r="E19" s="194" t="s">
        <v>157</v>
      </c>
      <c r="F19" s="194" t="s">
        <v>157</v>
      </c>
      <c r="G19" s="194" t="s">
        <v>157</v>
      </c>
      <c r="H19" s="194" t="s">
        <v>157</v>
      </c>
      <c r="I19" s="197"/>
      <c r="J19" s="145"/>
      <c r="K19" s="122"/>
      <c r="L19" s="122"/>
      <c r="M19" s="122"/>
      <c r="N19" s="122"/>
      <c r="O19" s="122"/>
      <c r="P19" s="122"/>
      <c r="Q19" s="27"/>
      <c r="R19" s="27"/>
      <c r="S19" s="27"/>
      <c r="T19" s="27"/>
      <c r="U19" s="23"/>
      <c r="V19" s="146"/>
      <c r="W19" s="23"/>
      <c r="X19" s="23"/>
      <c r="Y19" s="147"/>
      <c r="Z19" s="148"/>
      <c r="AL19" s="64"/>
      <c r="AM19" s="149"/>
      <c r="AN19" s="23"/>
      <c r="AO19" s="23"/>
      <c r="AP19" s="147"/>
      <c r="AQ19" s="148"/>
    </row>
    <row r="20" spans="1:43" ht="15.75">
      <c r="A20" s="63"/>
      <c r="B20" s="198"/>
      <c r="C20" s="27"/>
      <c r="D20" s="27"/>
      <c r="E20" s="199"/>
      <c r="F20" s="145"/>
      <c r="G20" s="200"/>
      <c r="H20" s="129"/>
      <c r="I20" s="188"/>
      <c r="J20" s="145"/>
      <c r="K20" s="122"/>
      <c r="L20" s="122"/>
      <c r="M20" s="122"/>
      <c r="N20" s="122"/>
      <c r="O20" s="122"/>
      <c r="P20" s="122"/>
      <c r="Q20" s="27"/>
      <c r="R20" s="27"/>
      <c r="S20" s="27"/>
      <c r="T20" s="27"/>
      <c r="U20" s="23"/>
      <c r="V20" s="146"/>
      <c r="W20" s="23"/>
      <c r="X20" s="23"/>
      <c r="Y20" s="147"/>
      <c r="Z20" s="148"/>
      <c r="AL20" s="64"/>
      <c r="AM20" s="149"/>
      <c r="AN20" s="23"/>
      <c r="AO20" s="23"/>
      <c r="AP20" s="147"/>
      <c r="AQ20" s="148"/>
    </row>
    <row r="21" spans="1:43" s="60" customFormat="1" ht="12">
      <c r="A21" s="164"/>
      <c r="B21" s="201"/>
      <c r="C21" s="164"/>
      <c r="D21" s="164"/>
      <c r="E21" s="202"/>
      <c r="F21" s="162"/>
      <c r="G21" s="203"/>
      <c r="H21" s="163"/>
      <c r="I21" s="204"/>
      <c r="J21" s="162"/>
      <c r="K21" s="205"/>
      <c r="L21" s="205"/>
      <c r="M21" s="205"/>
      <c r="N21" s="205"/>
      <c r="O21" s="205"/>
      <c r="P21" s="205"/>
      <c r="Q21" s="164"/>
      <c r="R21" s="164"/>
      <c r="S21" s="164"/>
      <c r="T21" s="164"/>
      <c r="V21" s="165"/>
      <c r="Y21" s="166"/>
      <c r="Z21" s="166"/>
      <c r="AL21" s="167"/>
      <c r="AM21" s="168"/>
      <c r="AP21" s="166"/>
      <c r="AQ21" s="166"/>
    </row>
    <row r="22" spans="1:43" s="60" customFormat="1" ht="12">
      <c r="A22" s="164"/>
      <c r="B22" s="201"/>
      <c r="C22" s="164"/>
      <c r="D22" s="164"/>
      <c r="E22" s="202"/>
      <c r="F22" s="162"/>
      <c r="G22" s="203"/>
      <c r="H22" s="163"/>
      <c r="I22" s="204"/>
      <c r="J22" s="162"/>
      <c r="K22" s="205"/>
      <c r="L22" s="205"/>
      <c r="M22" s="205"/>
      <c r="N22" s="205"/>
      <c r="O22" s="205"/>
      <c r="P22" s="205"/>
      <c r="Q22" s="164"/>
      <c r="R22" s="164"/>
      <c r="S22" s="164"/>
      <c r="T22" s="164"/>
      <c r="V22" s="165"/>
      <c r="Y22" s="166"/>
      <c r="Z22" s="166"/>
      <c r="AL22" s="167"/>
      <c r="AM22" s="168"/>
      <c r="AP22" s="166"/>
      <c r="AQ22" s="166"/>
    </row>
    <row r="23" spans="1:43" ht="15.75">
      <c r="A23" s="63"/>
      <c r="B23" s="206"/>
      <c r="C23" s="27"/>
      <c r="D23" s="27"/>
      <c r="E23" s="199"/>
      <c r="F23" s="145"/>
      <c r="G23" s="200"/>
      <c r="H23" s="129"/>
      <c r="I23" s="188"/>
      <c r="J23" s="145"/>
      <c r="K23" s="122"/>
      <c r="L23" s="122"/>
      <c r="M23" s="122"/>
      <c r="N23" s="122"/>
      <c r="O23" s="122"/>
      <c r="P23" s="122"/>
      <c r="Q23" s="27"/>
      <c r="R23" s="27"/>
      <c r="S23" s="27"/>
      <c r="T23" s="27"/>
      <c r="U23" s="23"/>
      <c r="V23" s="146"/>
      <c r="W23" s="23"/>
      <c r="X23" s="23"/>
      <c r="Y23" s="147"/>
      <c r="Z23" s="148"/>
      <c r="AL23" s="64"/>
      <c r="AM23" s="149"/>
      <c r="AN23" s="23"/>
      <c r="AO23" s="23"/>
      <c r="AP23" s="147"/>
      <c r="AQ23" s="148"/>
    </row>
    <row r="24" spans="1:43" ht="15.75">
      <c r="A24" s="63"/>
      <c r="B24" s="207"/>
      <c r="C24" s="27"/>
      <c r="D24" s="27"/>
      <c r="E24" s="199"/>
      <c r="F24" s="145"/>
      <c r="G24" s="200"/>
      <c r="H24" s="129"/>
      <c r="I24" s="188"/>
      <c r="J24" s="145"/>
      <c r="K24" s="122"/>
      <c r="L24" s="122"/>
      <c r="M24" s="122"/>
      <c r="N24" s="122"/>
      <c r="O24" s="122"/>
      <c r="P24" s="122"/>
      <c r="Q24" s="27"/>
      <c r="R24" s="27"/>
      <c r="S24" s="27"/>
      <c r="T24" s="27"/>
      <c r="U24" s="23"/>
      <c r="V24" s="146"/>
      <c r="W24" s="23"/>
      <c r="X24" s="23"/>
      <c r="Y24" s="147"/>
      <c r="Z24" s="148"/>
      <c r="AL24" s="64"/>
      <c r="AM24" s="149"/>
      <c r="AN24" s="23"/>
      <c r="AO24" s="23"/>
      <c r="AP24" s="147"/>
      <c r="AQ24" s="148"/>
    </row>
    <row r="25" spans="1:43" ht="15.75">
      <c r="A25" s="63"/>
      <c r="B25" s="207"/>
      <c r="C25" s="408" t="s">
        <v>68</v>
      </c>
      <c r="D25" s="27"/>
      <c r="E25" s="199"/>
      <c r="F25" s="441" t="s">
        <v>391</v>
      </c>
      <c r="G25" s="200"/>
      <c r="H25" s="129"/>
      <c r="I25" s="188"/>
      <c r="J25" s="145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3"/>
      <c r="V25" s="146"/>
      <c r="W25" s="23"/>
      <c r="X25" s="23"/>
      <c r="Y25" s="147"/>
      <c r="Z25" s="148"/>
      <c r="AL25" s="64"/>
      <c r="AM25" s="149"/>
      <c r="AN25" s="23"/>
      <c r="AO25" s="23"/>
      <c r="AP25" s="147"/>
      <c r="AQ25" s="148"/>
    </row>
    <row r="26" spans="1:43" ht="15.75">
      <c r="A26" s="63"/>
      <c r="B26" s="206"/>
      <c r="C26" s="27"/>
      <c r="D26" s="27"/>
      <c r="E26" s="199"/>
      <c r="F26" s="145"/>
      <c r="G26" s="200"/>
      <c r="H26" s="129"/>
      <c r="I26" s="188"/>
      <c r="J26" s="145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3"/>
      <c r="V26" s="146"/>
      <c r="W26" s="23"/>
      <c r="X26" s="23"/>
      <c r="Y26" s="147"/>
      <c r="Z26" s="148"/>
      <c r="AL26" s="64"/>
      <c r="AM26" s="149"/>
      <c r="AN26" s="23"/>
      <c r="AO26" s="23"/>
      <c r="AP26" s="147"/>
      <c r="AQ26" s="148"/>
    </row>
    <row r="27" spans="1:43" ht="15.75">
      <c r="A27" s="63"/>
      <c r="B27" s="206"/>
      <c r="C27" s="27"/>
      <c r="D27" s="27"/>
      <c r="E27" s="199"/>
      <c r="F27" s="145"/>
      <c r="G27" s="200"/>
      <c r="H27" s="129"/>
      <c r="I27" s="188"/>
      <c r="J27" s="145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3"/>
      <c r="V27" s="146"/>
      <c r="W27" s="23"/>
      <c r="X27" s="23"/>
      <c r="Y27" s="147"/>
      <c r="Z27" s="148"/>
      <c r="AL27" s="64"/>
      <c r="AM27" s="149"/>
      <c r="AN27" s="23"/>
      <c r="AO27" s="23"/>
      <c r="AP27" s="147"/>
      <c r="AQ27" s="148"/>
    </row>
    <row r="28" spans="1:43" ht="15.75">
      <c r="A28" s="63"/>
      <c r="B28" s="206"/>
      <c r="C28" s="27"/>
      <c r="D28" s="27"/>
      <c r="E28" s="199"/>
      <c r="F28" s="145"/>
      <c r="G28" s="200"/>
      <c r="H28" s="129"/>
      <c r="I28" s="188"/>
      <c r="J28" s="145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3"/>
      <c r="V28" s="146"/>
      <c r="W28" s="23"/>
      <c r="X28" s="23"/>
      <c r="Y28" s="147"/>
      <c r="Z28" s="148"/>
      <c r="AL28" s="64"/>
      <c r="AM28" s="149"/>
      <c r="AN28" s="23"/>
      <c r="AO28" s="23"/>
      <c r="AP28" s="147"/>
      <c r="AQ28" s="148"/>
    </row>
    <row r="29" spans="1:43" ht="15.75">
      <c r="A29" s="63"/>
      <c r="B29" s="206"/>
      <c r="C29" s="27"/>
      <c r="D29" s="27"/>
      <c r="E29" s="199"/>
      <c r="F29" s="145"/>
      <c r="G29" s="200"/>
      <c r="I29" s="440" t="s">
        <v>38</v>
      </c>
      <c r="J29" s="145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3"/>
      <c r="V29" s="146"/>
      <c r="W29" s="23"/>
      <c r="X29" s="23"/>
      <c r="Y29" s="147"/>
      <c r="Z29" s="148"/>
      <c r="AL29" s="64"/>
      <c r="AM29" s="149"/>
      <c r="AN29" s="23"/>
      <c r="AO29" s="23"/>
      <c r="AP29" s="147"/>
      <c r="AQ29" s="148"/>
    </row>
    <row r="30" spans="1:43" ht="15.75">
      <c r="A30" s="63"/>
      <c r="B30" s="206"/>
      <c r="C30" s="27"/>
      <c r="D30" s="27"/>
      <c r="E30" s="199"/>
      <c r="F30" s="145"/>
      <c r="G30" s="200"/>
      <c r="I30" s="440" t="s">
        <v>426</v>
      </c>
      <c r="J30" s="145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3"/>
      <c r="V30" s="146"/>
      <c r="W30" s="23"/>
      <c r="X30" s="23"/>
      <c r="Y30" s="147"/>
      <c r="Z30" s="148"/>
      <c r="AL30" s="64"/>
      <c r="AM30" s="149"/>
      <c r="AN30" s="23"/>
      <c r="AO30" s="23"/>
      <c r="AP30" s="147"/>
      <c r="AQ30" s="148"/>
    </row>
    <row r="31" spans="1:43" ht="32.25" customHeight="1">
      <c r="A31" s="63"/>
      <c r="B31" s="63"/>
      <c r="C31" s="27"/>
      <c r="D31" s="27"/>
      <c r="E31" s="199"/>
      <c r="F31" s="145"/>
      <c r="G31" s="200"/>
      <c r="I31" s="440" t="s">
        <v>418</v>
      </c>
      <c r="J31" s="145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3"/>
      <c r="V31" s="146"/>
      <c r="W31" s="23"/>
      <c r="X31" s="23"/>
      <c r="Y31" s="147"/>
      <c r="Z31" s="148"/>
      <c r="AL31" s="64"/>
      <c r="AM31" s="149"/>
      <c r="AN31" s="23"/>
      <c r="AO31" s="23"/>
      <c r="AP31" s="147"/>
      <c r="AQ31" s="148"/>
    </row>
    <row r="32" spans="1:43" ht="15.75">
      <c r="A32" s="63"/>
      <c r="B32" s="63"/>
      <c r="C32" s="27"/>
      <c r="D32" s="27"/>
      <c r="E32" s="199"/>
      <c r="F32" s="145"/>
      <c r="G32" s="200"/>
      <c r="I32" s="129"/>
      <c r="J32" s="145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3"/>
      <c r="V32" s="208"/>
      <c r="W32" s="23"/>
      <c r="X32" s="23"/>
      <c r="Y32" s="147"/>
      <c r="Z32" s="148"/>
      <c r="AL32" s="64"/>
      <c r="AM32" s="149"/>
      <c r="AN32" s="23"/>
      <c r="AO32" s="23"/>
      <c r="AP32" s="147"/>
      <c r="AQ32" s="148"/>
    </row>
    <row r="33" spans="1:43" ht="15.75">
      <c r="A33" s="63"/>
      <c r="B33" s="63"/>
      <c r="C33" s="27"/>
      <c r="D33" s="27"/>
      <c r="E33" s="199"/>
      <c r="F33" s="145"/>
      <c r="G33" s="200"/>
      <c r="H33" s="129"/>
      <c r="I33" s="188"/>
      <c r="J33" s="145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3"/>
      <c r="V33" s="208"/>
      <c r="W33" s="23"/>
      <c r="X33" s="23"/>
      <c r="Y33" s="147"/>
      <c r="Z33" s="148"/>
      <c r="AL33" s="64"/>
      <c r="AM33" s="149"/>
      <c r="AN33" s="23"/>
      <c r="AO33" s="23"/>
      <c r="AP33" s="147"/>
      <c r="AQ33" s="148"/>
    </row>
    <row r="34" spans="1:43" ht="15.75">
      <c r="A34" s="63"/>
      <c r="B34" s="63"/>
      <c r="C34" s="27"/>
      <c r="D34" s="27"/>
      <c r="E34" s="199"/>
      <c r="F34" s="145"/>
      <c r="G34" s="200"/>
      <c r="H34" s="129"/>
      <c r="I34" s="188"/>
      <c r="J34" s="145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3"/>
      <c r="V34" s="208"/>
      <c r="W34" s="23"/>
      <c r="X34" s="23"/>
      <c r="Y34" s="147"/>
      <c r="Z34" s="148"/>
      <c r="AL34" s="64"/>
      <c r="AM34" s="149"/>
      <c r="AN34" s="23"/>
      <c r="AO34" s="23"/>
      <c r="AP34" s="147"/>
      <c r="AQ34" s="148"/>
    </row>
    <row r="35" spans="1:43" ht="15.75">
      <c r="A35" s="479" t="s">
        <v>236</v>
      </c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27"/>
      <c r="M35" s="27"/>
      <c r="N35" s="27"/>
      <c r="O35" s="27"/>
      <c r="P35" s="27"/>
      <c r="Q35" s="27"/>
      <c r="R35" s="27"/>
      <c r="S35" s="27"/>
      <c r="T35" s="27"/>
      <c r="U35" s="23"/>
      <c r="V35" s="146"/>
      <c r="W35" s="23"/>
      <c r="X35" s="23"/>
      <c r="Y35" s="147"/>
      <c r="Z35" s="148"/>
      <c r="AL35" s="64"/>
      <c r="AM35" s="149"/>
      <c r="AN35" s="23"/>
      <c r="AO35" s="23"/>
      <c r="AP35" s="147"/>
      <c r="AQ35" s="148"/>
    </row>
    <row r="36" spans="1:43" ht="15.75">
      <c r="A36" s="63"/>
      <c r="B36" s="206"/>
      <c r="C36" s="27"/>
      <c r="D36" s="27"/>
      <c r="E36" s="199"/>
      <c r="F36" s="145"/>
      <c r="G36" s="200"/>
      <c r="H36" s="129"/>
      <c r="I36" s="188"/>
      <c r="J36" s="145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3"/>
      <c r="V36" s="146"/>
      <c r="W36" s="23"/>
      <c r="X36" s="23"/>
      <c r="Y36" s="147"/>
      <c r="Z36" s="148"/>
      <c r="AL36" s="64"/>
      <c r="AM36" s="149"/>
      <c r="AN36" s="23"/>
      <c r="AO36" s="23"/>
      <c r="AP36" s="147"/>
      <c r="AQ36" s="148"/>
    </row>
    <row r="37" spans="1:43" ht="12.75" customHeight="1">
      <c r="A37" s="448" t="s">
        <v>93</v>
      </c>
      <c r="B37" s="445"/>
      <c r="C37" s="445" t="s">
        <v>34</v>
      </c>
      <c r="D37" s="453" t="s">
        <v>35</v>
      </c>
      <c r="E37" s="453" t="s">
        <v>146</v>
      </c>
      <c r="F37" s="453" t="s">
        <v>36</v>
      </c>
      <c r="G37" s="453" t="s">
        <v>37</v>
      </c>
      <c r="H37" s="450" t="s">
        <v>122</v>
      </c>
      <c r="I37" s="451"/>
      <c r="J37" s="451"/>
      <c r="K37" s="452"/>
      <c r="L37" s="27"/>
      <c r="M37" s="27"/>
      <c r="N37" s="27"/>
      <c r="O37" s="27"/>
      <c r="P37" s="27"/>
      <c r="Q37" s="27"/>
      <c r="R37" s="27"/>
      <c r="S37" s="27"/>
      <c r="T37" s="27"/>
      <c r="U37" s="23"/>
      <c r="V37" s="146"/>
      <c r="W37" s="23"/>
      <c r="X37" s="23"/>
      <c r="Y37" s="147"/>
      <c r="Z37" s="148"/>
      <c r="AL37" s="64"/>
      <c r="AM37" s="149"/>
      <c r="AN37" s="23"/>
      <c r="AO37" s="23"/>
      <c r="AP37" s="147"/>
      <c r="AQ37" s="148"/>
    </row>
    <row r="38" spans="1:11" s="212" customFormat="1" ht="39.75" customHeight="1">
      <c r="A38" s="449"/>
      <c r="B38" s="446"/>
      <c r="C38" s="446"/>
      <c r="D38" s="444"/>
      <c r="E38" s="444"/>
      <c r="F38" s="444"/>
      <c r="G38" s="444"/>
      <c r="H38" s="209" t="s">
        <v>117</v>
      </c>
      <c r="I38" s="210" t="s">
        <v>123</v>
      </c>
      <c r="J38" s="209" t="s">
        <v>124</v>
      </c>
      <c r="K38" s="211" t="s">
        <v>125</v>
      </c>
    </row>
    <row r="39" spans="1:43" s="83" customFormat="1" ht="12">
      <c r="A39" s="68">
        <v>1</v>
      </c>
      <c r="B39" s="213">
        <v>2</v>
      </c>
      <c r="C39" s="68">
        <v>3</v>
      </c>
      <c r="D39" s="68">
        <v>4</v>
      </c>
      <c r="E39" s="214">
        <v>5</v>
      </c>
      <c r="F39" s="215">
        <v>6</v>
      </c>
      <c r="G39" s="216">
        <v>7</v>
      </c>
      <c r="H39" s="217">
        <v>8</v>
      </c>
      <c r="I39" s="215">
        <v>9</v>
      </c>
      <c r="J39" s="215">
        <v>10</v>
      </c>
      <c r="K39" s="68">
        <v>11</v>
      </c>
      <c r="L39" s="218"/>
      <c r="M39" s="218"/>
      <c r="N39" s="218"/>
      <c r="O39" s="218"/>
      <c r="P39" s="218"/>
      <c r="Q39" s="218"/>
      <c r="R39" s="218"/>
      <c r="S39" s="218"/>
      <c r="T39" s="218"/>
      <c r="V39" s="219"/>
      <c r="Y39" s="220"/>
      <c r="Z39" s="220"/>
      <c r="AL39" s="221"/>
      <c r="AM39" s="222"/>
      <c r="AP39" s="220"/>
      <c r="AQ39" s="220"/>
    </row>
    <row r="40" spans="1:43" ht="15.75" customHeight="1">
      <c r="A40" s="24">
        <v>1</v>
      </c>
      <c r="B40" s="223" t="s">
        <v>329</v>
      </c>
      <c r="C40" s="24" t="s">
        <v>162</v>
      </c>
      <c r="D40" s="224">
        <f>F40/E40</f>
        <v>3.3088235294117645</v>
      </c>
      <c r="E40" s="105">
        <v>24</v>
      </c>
      <c r="F40" s="225">
        <f>G40/238</f>
        <v>79.41176470588235</v>
      </c>
      <c r="G40" s="422">
        <f>'затраты по воде'!E9</f>
        <v>18900</v>
      </c>
      <c r="H40" s="187">
        <f>G40/254*90</f>
        <v>6696.850393700788</v>
      </c>
      <c r="I40" s="185">
        <f>G40/254*57</f>
        <v>4241.3385826771655</v>
      </c>
      <c r="J40" s="185">
        <f>G40/254*15</f>
        <v>1116.1417322834648</v>
      </c>
      <c r="K40" s="106">
        <f>G40/254*92</f>
        <v>6845.669291338583</v>
      </c>
      <c r="L40" s="226">
        <f>SUM(H40:K40)</f>
        <v>18900</v>
      </c>
      <c r="M40" s="27"/>
      <c r="N40" s="27"/>
      <c r="O40" s="27"/>
      <c r="P40" s="27"/>
      <c r="Q40" s="27"/>
      <c r="R40" s="27"/>
      <c r="S40" s="27"/>
      <c r="T40" s="27"/>
      <c r="U40" s="23"/>
      <c r="V40" s="146"/>
      <c r="W40" s="23"/>
      <c r="X40" s="23"/>
      <c r="Y40" s="147"/>
      <c r="Z40" s="148"/>
      <c r="AL40" s="64"/>
      <c r="AM40" s="149"/>
      <c r="AN40" s="23"/>
      <c r="AO40" s="23"/>
      <c r="AP40" s="147"/>
      <c r="AQ40" s="148"/>
    </row>
    <row r="41" spans="1:43" ht="15.75">
      <c r="A41" s="24" t="s">
        <v>145</v>
      </c>
      <c r="B41" s="189" t="s">
        <v>143</v>
      </c>
      <c r="C41" s="24"/>
      <c r="D41" s="224">
        <f>F41/E41</f>
        <v>0.12487745098039216</v>
      </c>
      <c r="E41" s="105">
        <v>24</v>
      </c>
      <c r="F41" s="429">
        <f>G41/238</f>
        <v>2.9970588235294118</v>
      </c>
      <c r="G41" s="422">
        <f>'затраты по воде'!E11</f>
        <v>713.3</v>
      </c>
      <c r="H41" s="187">
        <f>G41/254*90</f>
        <v>252.74409448818898</v>
      </c>
      <c r="I41" s="185">
        <f>G41/254*57</f>
        <v>160.07125984251968</v>
      </c>
      <c r="J41" s="185">
        <f>G41/254*15</f>
        <v>42.124015748031496</v>
      </c>
      <c r="K41" s="106">
        <f>G41/254*92</f>
        <v>258.36062992125983</v>
      </c>
      <c r="L41" s="226">
        <f>SUM(H41:K41)</f>
        <v>713.3</v>
      </c>
      <c r="M41" s="27"/>
      <c r="N41" s="27"/>
      <c r="O41" s="27"/>
      <c r="P41" s="27"/>
      <c r="Q41" s="27"/>
      <c r="R41" s="27"/>
      <c r="S41" s="27"/>
      <c r="T41" s="27"/>
      <c r="U41" s="23"/>
      <c r="V41" s="146"/>
      <c r="W41" s="23"/>
      <c r="X41" s="23"/>
      <c r="Y41" s="147"/>
      <c r="Z41" s="148"/>
      <c r="AL41" s="64"/>
      <c r="AM41" s="149"/>
      <c r="AN41" s="23"/>
      <c r="AO41" s="23"/>
      <c r="AP41" s="147"/>
      <c r="AQ41" s="148"/>
    </row>
    <row r="42" spans="1:43" ht="15.75">
      <c r="A42" s="24" t="s">
        <v>100</v>
      </c>
      <c r="B42" s="189" t="s">
        <v>144</v>
      </c>
      <c r="C42" s="24"/>
      <c r="D42" s="224">
        <f>F42/E42</f>
        <v>0.09323704481792718</v>
      </c>
      <c r="E42" s="105">
        <v>24</v>
      </c>
      <c r="F42" s="225">
        <f>G42/238</f>
        <v>2.2376890756302523</v>
      </c>
      <c r="G42" s="187">
        <f>'затраты по воде'!E12</f>
        <v>532.57</v>
      </c>
      <c r="H42" s="187">
        <f>G42/254*90</f>
        <v>188.70590551181104</v>
      </c>
      <c r="I42" s="185">
        <f>G42/254*57</f>
        <v>119.51374015748033</v>
      </c>
      <c r="J42" s="185">
        <f>G42/254*15</f>
        <v>31.450984251968507</v>
      </c>
      <c r="K42" s="428">
        <f>G42/254*92</f>
        <v>192.8993700787402</v>
      </c>
      <c r="L42" s="226">
        <f>SUM(H42:K42)</f>
        <v>532.57</v>
      </c>
      <c r="M42" s="27"/>
      <c r="N42" s="27"/>
      <c r="O42" s="27"/>
      <c r="P42" s="27"/>
      <c r="Q42" s="27"/>
      <c r="R42" s="27"/>
      <c r="S42" s="27"/>
      <c r="T42" s="27"/>
      <c r="U42" s="23"/>
      <c r="V42" s="146"/>
      <c r="W42" s="23"/>
      <c r="X42" s="23"/>
      <c r="Y42" s="147"/>
      <c r="Z42" s="148"/>
      <c r="AL42" s="64"/>
      <c r="AM42" s="149"/>
      <c r="AN42" s="23"/>
      <c r="AO42" s="23"/>
      <c r="AP42" s="147"/>
      <c r="AQ42" s="148"/>
    </row>
    <row r="43" spans="1:43" ht="15.75">
      <c r="A43" s="24" t="s">
        <v>214</v>
      </c>
      <c r="B43" s="189" t="s">
        <v>460</v>
      </c>
      <c r="C43" s="104"/>
      <c r="D43" s="224">
        <f>F43/E43</f>
        <v>3.0907090336134453</v>
      </c>
      <c r="E43" s="105">
        <v>24</v>
      </c>
      <c r="F43" s="225">
        <f>G43/238</f>
        <v>74.17701680672269</v>
      </c>
      <c r="G43" s="187">
        <f>'затраты по воде'!E13</f>
        <v>17654.13</v>
      </c>
      <c r="H43" s="422">
        <f>G43/254*90</f>
        <v>6255.400393700788</v>
      </c>
      <c r="I43" s="185">
        <f>G43/254*57</f>
        <v>3961.7535826771655</v>
      </c>
      <c r="J43" s="185">
        <f>G43/254*15</f>
        <v>1042.5667322834647</v>
      </c>
      <c r="K43" s="106">
        <f>G43/254*92</f>
        <v>6394.409291338583</v>
      </c>
      <c r="L43" s="226">
        <f>SUM(H43:K43)</f>
        <v>17654.130000000005</v>
      </c>
      <c r="M43" s="27"/>
      <c r="N43" s="27"/>
      <c r="O43" s="27"/>
      <c r="P43" s="27"/>
      <c r="Q43" s="27"/>
      <c r="R43" s="27"/>
      <c r="S43" s="27"/>
      <c r="T43" s="27"/>
      <c r="U43" s="23"/>
      <c r="V43" s="146"/>
      <c r="W43" s="23"/>
      <c r="X43" s="23"/>
      <c r="Y43" s="147"/>
      <c r="Z43" s="148"/>
      <c r="AL43" s="64"/>
      <c r="AM43" s="149"/>
      <c r="AN43" s="23"/>
      <c r="AO43" s="23"/>
      <c r="AP43" s="147"/>
      <c r="AQ43" s="148"/>
    </row>
    <row r="44" spans="1:43" ht="15.75">
      <c r="A44" s="63"/>
      <c r="B44" s="137"/>
      <c r="C44" s="227"/>
      <c r="D44" s="227"/>
      <c r="E44" s="199"/>
      <c r="F44" s="145"/>
      <c r="G44" s="200"/>
      <c r="H44" s="129"/>
      <c r="I44" s="145"/>
      <c r="J44" s="145"/>
      <c r="K44" s="227"/>
      <c r="L44" s="27"/>
      <c r="M44" s="27"/>
      <c r="N44" s="27"/>
      <c r="O44" s="27"/>
      <c r="P44" s="27"/>
      <c r="Q44" s="27"/>
      <c r="R44" s="27"/>
      <c r="S44" s="27"/>
      <c r="T44" s="27"/>
      <c r="U44" s="23"/>
      <c r="V44" s="146"/>
      <c r="W44" s="23"/>
      <c r="X44" s="23"/>
      <c r="Y44" s="147"/>
      <c r="Z44" s="148"/>
      <c r="AL44" s="64"/>
      <c r="AM44" s="149"/>
      <c r="AN44" s="23"/>
      <c r="AO44" s="23"/>
      <c r="AP44" s="147"/>
      <c r="AQ44" s="148"/>
    </row>
    <row r="45" spans="1:43" ht="15.75">
      <c r="A45" s="63"/>
      <c r="B45" s="207"/>
      <c r="C45" s="27"/>
      <c r="D45" s="27"/>
      <c r="E45" s="199"/>
      <c r="F45" s="145"/>
      <c r="G45" s="200"/>
      <c r="H45" s="129"/>
      <c r="I45" s="145"/>
      <c r="J45" s="145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3"/>
      <c r="V45" s="146"/>
      <c r="W45" s="23"/>
      <c r="X45" s="23"/>
      <c r="Y45" s="147"/>
      <c r="Z45" s="148"/>
      <c r="AL45" s="64"/>
      <c r="AM45" s="149"/>
      <c r="AN45" s="23"/>
      <c r="AO45" s="23"/>
      <c r="AP45" s="147"/>
      <c r="AQ45" s="148"/>
    </row>
    <row r="46" spans="1:43" ht="15.75">
      <c r="A46" s="63"/>
      <c r="B46" s="206"/>
      <c r="C46" s="227"/>
      <c r="D46" s="227"/>
      <c r="E46" s="199"/>
      <c r="F46" s="145"/>
      <c r="G46" s="200"/>
      <c r="H46" s="129"/>
      <c r="I46" s="145"/>
      <c r="J46" s="145"/>
      <c r="K46" s="227"/>
      <c r="L46" s="27"/>
      <c r="M46" s="27"/>
      <c r="N46" s="27"/>
      <c r="O46" s="27"/>
      <c r="P46" s="27"/>
      <c r="Q46" s="27"/>
      <c r="R46" s="27"/>
      <c r="S46" s="27"/>
      <c r="T46" s="27"/>
      <c r="U46" s="23"/>
      <c r="V46" s="146"/>
      <c r="W46" s="23"/>
      <c r="X46" s="23"/>
      <c r="Y46" s="147"/>
      <c r="Z46" s="148"/>
      <c r="AL46" s="64"/>
      <c r="AM46" s="149"/>
      <c r="AN46" s="23"/>
      <c r="AO46" s="23"/>
      <c r="AP46" s="147"/>
      <c r="AQ46" s="148"/>
    </row>
    <row r="47" spans="1:43" ht="15.75">
      <c r="A47" s="63"/>
      <c r="B47" s="206"/>
      <c r="C47" s="228"/>
      <c r="D47" s="228"/>
      <c r="E47" s="199"/>
      <c r="F47" s="145"/>
      <c r="G47" s="200"/>
      <c r="H47" s="129"/>
      <c r="I47" s="145"/>
      <c r="J47" s="145"/>
      <c r="K47" s="227"/>
      <c r="L47" s="27"/>
      <c r="M47" s="27"/>
      <c r="N47" s="27"/>
      <c r="O47" s="27"/>
      <c r="P47" s="27"/>
      <c r="Q47" s="27"/>
      <c r="R47" s="27"/>
      <c r="S47" s="27"/>
      <c r="T47" s="27"/>
      <c r="U47" s="23"/>
      <c r="V47" s="146"/>
      <c r="W47" s="23"/>
      <c r="X47" s="23"/>
      <c r="Y47" s="147"/>
      <c r="Z47" s="148"/>
      <c r="AL47" s="64"/>
      <c r="AM47" s="149"/>
      <c r="AN47" s="23"/>
      <c r="AO47" s="23"/>
      <c r="AP47" s="147"/>
      <c r="AQ47" s="148"/>
    </row>
    <row r="48" spans="1:43" ht="15.75">
      <c r="A48" s="63"/>
      <c r="B48" s="206"/>
      <c r="C48" s="27"/>
      <c r="D48" s="27"/>
      <c r="E48" s="199"/>
      <c r="F48" s="145"/>
      <c r="G48" s="200"/>
      <c r="H48" s="200"/>
      <c r="I48" s="145"/>
      <c r="J48" s="145"/>
      <c r="K48" s="27"/>
      <c r="L48" s="27"/>
      <c r="M48" s="227"/>
      <c r="N48" s="27"/>
      <c r="O48" s="27"/>
      <c r="P48" s="27"/>
      <c r="Q48" s="27"/>
      <c r="R48" s="27"/>
      <c r="S48" s="27"/>
      <c r="T48" s="27"/>
      <c r="U48" s="23"/>
      <c r="V48" s="146"/>
      <c r="W48" s="23"/>
      <c r="X48" s="23"/>
      <c r="Y48" s="147"/>
      <c r="Z48" s="148"/>
      <c r="AL48" s="64"/>
      <c r="AM48" s="149"/>
      <c r="AN48" s="23"/>
      <c r="AO48" s="23"/>
      <c r="AP48" s="147"/>
      <c r="AQ48" s="148"/>
    </row>
    <row r="49" spans="1:43" ht="15.75">
      <c r="A49" s="63"/>
      <c r="B49" s="206"/>
      <c r="C49" s="27"/>
      <c r="D49" s="27"/>
      <c r="E49" s="199"/>
      <c r="F49" s="145"/>
      <c r="G49" s="200"/>
      <c r="H49" s="200"/>
      <c r="I49" s="145"/>
      <c r="J49" s="145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3"/>
      <c r="V49" s="146"/>
      <c r="W49" s="23"/>
      <c r="X49" s="23"/>
      <c r="Y49" s="147"/>
      <c r="Z49" s="148"/>
      <c r="AL49" s="64"/>
      <c r="AM49" s="149"/>
      <c r="AN49" s="23"/>
      <c r="AO49" s="23"/>
      <c r="AP49" s="147"/>
      <c r="AQ49" s="148"/>
    </row>
    <row r="50" spans="1:43" ht="15.75">
      <c r="A50" s="63"/>
      <c r="B50" s="206"/>
      <c r="C50" s="408" t="s">
        <v>68</v>
      </c>
      <c r="D50" s="27"/>
      <c r="E50" s="199"/>
      <c r="F50" s="441" t="s">
        <v>391</v>
      </c>
      <c r="G50" s="200"/>
      <c r="H50" s="129"/>
      <c r="I50" s="145"/>
      <c r="J50" s="145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3"/>
      <c r="V50" s="146"/>
      <c r="W50" s="23"/>
      <c r="X50" s="23"/>
      <c r="Y50" s="147"/>
      <c r="Z50" s="148"/>
      <c r="AL50" s="64"/>
      <c r="AM50" s="149"/>
      <c r="AN50" s="23"/>
      <c r="AO50" s="23"/>
      <c r="AP50" s="147"/>
      <c r="AQ50" s="148"/>
    </row>
    <row r="51" spans="1:43" ht="15.75">
      <c r="A51" s="63"/>
      <c r="B51" s="206"/>
      <c r="C51" s="27"/>
      <c r="D51" s="27"/>
      <c r="E51" s="199"/>
      <c r="F51" s="145"/>
      <c r="G51" s="200"/>
      <c r="H51" s="129"/>
      <c r="I51" s="145"/>
      <c r="J51" s="145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3"/>
      <c r="V51" s="146"/>
      <c r="W51" s="23"/>
      <c r="X51" s="23"/>
      <c r="Y51" s="147"/>
      <c r="Z51" s="148"/>
      <c r="AL51" s="64"/>
      <c r="AM51" s="149"/>
      <c r="AN51" s="23"/>
      <c r="AO51" s="23"/>
      <c r="AP51" s="147"/>
      <c r="AQ51" s="148"/>
    </row>
    <row r="52" spans="1:43" ht="15.75">
      <c r="A52" s="63"/>
      <c r="B52" s="206"/>
      <c r="C52" s="27"/>
      <c r="D52" s="27"/>
      <c r="E52" s="199"/>
      <c r="F52" s="145"/>
      <c r="G52" s="200"/>
      <c r="H52" s="129"/>
      <c r="I52" s="145"/>
      <c r="J52" s="145"/>
      <c r="K52" s="229"/>
      <c r="L52" s="27"/>
      <c r="M52" s="27"/>
      <c r="N52" s="27"/>
      <c r="O52" s="27"/>
      <c r="P52" s="27"/>
      <c r="Q52" s="27"/>
      <c r="R52" s="27"/>
      <c r="S52" s="27"/>
      <c r="T52" s="27"/>
      <c r="U52" s="23"/>
      <c r="V52" s="146"/>
      <c r="W52" s="23"/>
      <c r="X52" s="23"/>
      <c r="Y52" s="147"/>
      <c r="Z52" s="148"/>
      <c r="AL52" s="64"/>
      <c r="AM52" s="149"/>
      <c r="AN52" s="23"/>
      <c r="AO52" s="23"/>
      <c r="AP52" s="147"/>
      <c r="AQ52" s="148"/>
    </row>
    <row r="53" spans="1:43" ht="15.75">
      <c r="A53" s="63"/>
      <c r="B53" s="206"/>
      <c r="C53" s="188"/>
      <c r="D53" s="188"/>
      <c r="E53" s="188"/>
      <c r="F53" s="145"/>
      <c r="G53" s="200"/>
      <c r="H53" s="129"/>
      <c r="I53" s="145"/>
      <c r="J53" s="145"/>
      <c r="K53" s="129"/>
      <c r="L53" s="27"/>
      <c r="M53" s="27"/>
      <c r="N53" s="27"/>
      <c r="O53" s="27"/>
      <c r="P53" s="27"/>
      <c r="Q53" s="27"/>
      <c r="R53" s="27"/>
      <c r="S53" s="27"/>
      <c r="T53" s="27"/>
      <c r="U53" s="23"/>
      <c r="V53" s="146"/>
      <c r="W53" s="23"/>
      <c r="X53" s="23"/>
      <c r="Y53" s="147"/>
      <c r="Z53" s="148"/>
      <c r="AL53" s="64"/>
      <c r="AM53" s="149"/>
      <c r="AN53" s="23"/>
      <c r="AO53" s="23"/>
      <c r="AP53" s="147"/>
      <c r="AQ53" s="148"/>
    </row>
    <row r="54" spans="1:43" ht="15.75">
      <c r="A54" s="63"/>
      <c r="B54" s="206"/>
      <c r="C54" s="188"/>
      <c r="D54" s="188"/>
      <c r="E54" s="188"/>
      <c r="F54" s="145"/>
      <c r="G54" s="200"/>
      <c r="H54" s="129"/>
      <c r="I54" s="145"/>
      <c r="J54" s="145"/>
      <c r="K54" s="129"/>
      <c r="L54" s="27"/>
      <c r="M54" s="27"/>
      <c r="N54" s="27"/>
      <c r="O54" s="27"/>
      <c r="P54" s="27"/>
      <c r="Q54" s="27"/>
      <c r="R54" s="27"/>
      <c r="S54" s="27"/>
      <c r="T54" s="27"/>
      <c r="U54" s="23"/>
      <c r="V54" s="146"/>
      <c r="W54" s="23"/>
      <c r="X54" s="23"/>
      <c r="Y54" s="147"/>
      <c r="Z54" s="148"/>
      <c r="AL54" s="64"/>
      <c r="AM54" s="149"/>
      <c r="AN54" s="23"/>
      <c r="AO54" s="23"/>
      <c r="AP54" s="147"/>
      <c r="AQ54" s="148"/>
    </row>
    <row r="55" spans="1:43" ht="15.75">
      <c r="A55" s="63"/>
      <c r="B55" s="206"/>
      <c r="C55" s="188"/>
      <c r="D55" s="188"/>
      <c r="E55" s="188"/>
      <c r="F55" s="145"/>
      <c r="G55" s="200"/>
      <c r="H55" s="129"/>
      <c r="I55" s="145"/>
      <c r="J55" s="145"/>
      <c r="K55" s="230"/>
      <c r="L55" s="27"/>
      <c r="M55" s="27"/>
      <c r="N55" s="27"/>
      <c r="O55" s="27"/>
      <c r="P55" s="27"/>
      <c r="Q55" s="27"/>
      <c r="R55" s="27"/>
      <c r="S55" s="27"/>
      <c r="T55" s="27"/>
      <c r="U55" s="23"/>
      <c r="V55" s="146"/>
      <c r="W55" s="23"/>
      <c r="X55" s="23"/>
      <c r="Y55" s="147"/>
      <c r="Z55" s="148"/>
      <c r="AL55" s="64"/>
      <c r="AM55" s="149"/>
      <c r="AN55" s="23"/>
      <c r="AO55" s="23"/>
      <c r="AP55" s="147"/>
      <c r="AQ55" s="148"/>
    </row>
    <row r="56" spans="1:43" ht="15.75">
      <c r="A56" s="63"/>
      <c r="B56" s="206"/>
      <c r="C56" s="188"/>
      <c r="D56" s="188"/>
      <c r="E56" s="188"/>
      <c r="F56" s="145"/>
      <c r="G56" s="200"/>
      <c r="H56" s="129"/>
      <c r="I56" s="145"/>
      <c r="J56" s="145"/>
      <c r="K56" s="230"/>
      <c r="L56" s="27"/>
      <c r="M56" s="27"/>
      <c r="N56" s="27"/>
      <c r="O56" s="27"/>
      <c r="P56" s="27"/>
      <c r="Q56" s="27"/>
      <c r="R56" s="27"/>
      <c r="S56" s="27"/>
      <c r="T56" s="27"/>
      <c r="U56" s="23"/>
      <c r="V56" s="146"/>
      <c r="W56" s="23"/>
      <c r="X56" s="23"/>
      <c r="Y56" s="147"/>
      <c r="Z56" s="148"/>
      <c r="AL56" s="64"/>
      <c r="AM56" s="149"/>
      <c r="AN56" s="23"/>
      <c r="AO56" s="23"/>
      <c r="AP56" s="147"/>
      <c r="AQ56" s="148"/>
    </row>
    <row r="57" spans="1:43" ht="15.75">
      <c r="A57" s="63"/>
      <c r="B57" s="206"/>
      <c r="C57" s="188"/>
      <c r="D57" s="188"/>
      <c r="E57" s="188"/>
      <c r="F57" s="145"/>
      <c r="G57" s="200"/>
      <c r="H57" s="129"/>
      <c r="I57" s="145"/>
      <c r="J57" s="145"/>
      <c r="K57" s="230"/>
      <c r="L57" s="27"/>
      <c r="M57" s="27"/>
      <c r="N57" s="27"/>
      <c r="O57" s="27"/>
      <c r="P57" s="27"/>
      <c r="Q57" s="27"/>
      <c r="R57" s="27"/>
      <c r="S57" s="27"/>
      <c r="T57" s="27"/>
      <c r="U57" s="23"/>
      <c r="V57" s="146"/>
      <c r="W57" s="23"/>
      <c r="X57" s="23"/>
      <c r="Y57" s="147"/>
      <c r="Z57" s="148"/>
      <c r="AL57" s="64"/>
      <c r="AM57" s="149"/>
      <c r="AN57" s="23"/>
      <c r="AO57" s="23"/>
      <c r="AP57" s="147"/>
      <c r="AQ57" s="148"/>
    </row>
    <row r="58" spans="1:43" ht="15.75">
      <c r="A58" s="63"/>
      <c r="B58" s="206"/>
      <c r="C58" s="188"/>
      <c r="D58" s="188"/>
      <c r="E58" s="188"/>
      <c r="F58" s="145"/>
      <c r="G58" s="200"/>
      <c r="H58" s="129"/>
      <c r="I58" s="145"/>
      <c r="J58" s="145"/>
      <c r="K58" s="129"/>
      <c r="L58" s="27"/>
      <c r="M58" s="27"/>
      <c r="N58" s="27"/>
      <c r="O58" s="27"/>
      <c r="P58" s="27"/>
      <c r="Q58" s="27"/>
      <c r="R58" s="27"/>
      <c r="S58" s="27"/>
      <c r="T58" s="27"/>
      <c r="U58" s="23"/>
      <c r="V58" s="146"/>
      <c r="W58" s="23"/>
      <c r="X58" s="23"/>
      <c r="Y58" s="147"/>
      <c r="Z58" s="148"/>
      <c r="AL58" s="64"/>
      <c r="AM58" s="149"/>
      <c r="AN58" s="23"/>
      <c r="AO58" s="23"/>
      <c r="AP58" s="147"/>
      <c r="AQ58" s="148"/>
    </row>
    <row r="59" spans="1:43" ht="15.75">
      <c r="A59" s="63"/>
      <c r="B59" s="206"/>
      <c r="C59" s="188"/>
      <c r="D59" s="188"/>
      <c r="E59" s="188"/>
      <c r="F59" s="145"/>
      <c r="G59" s="200"/>
      <c r="H59" s="129"/>
      <c r="I59" s="145"/>
      <c r="J59" s="145"/>
      <c r="K59" s="129"/>
      <c r="L59" s="27"/>
      <c r="M59" s="27"/>
      <c r="N59" s="27"/>
      <c r="O59" s="27"/>
      <c r="P59" s="27"/>
      <c r="Q59" s="27"/>
      <c r="R59" s="27"/>
      <c r="S59" s="27"/>
      <c r="T59" s="27"/>
      <c r="U59" s="23"/>
      <c r="V59" s="146"/>
      <c r="W59" s="23"/>
      <c r="X59" s="23"/>
      <c r="Y59" s="147"/>
      <c r="Z59" s="148"/>
      <c r="AL59" s="64"/>
      <c r="AM59" s="149"/>
      <c r="AN59" s="23"/>
      <c r="AO59" s="23"/>
      <c r="AP59" s="147"/>
      <c r="AQ59" s="148"/>
    </row>
    <row r="60" spans="1:43" ht="15.75">
      <c r="A60" s="63"/>
      <c r="B60" s="206"/>
      <c r="C60" s="188"/>
      <c r="D60" s="188"/>
      <c r="E60" s="188"/>
      <c r="F60" s="145"/>
      <c r="G60" s="231"/>
      <c r="H60" s="129"/>
      <c r="I60" s="145"/>
      <c r="J60" s="145"/>
      <c r="K60" s="200"/>
      <c r="L60" s="27"/>
      <c r="M60" s="27"/>
      <c r="N60" s="27"/>
      <c r="O60" s="27"/>
      <c r="P60" s="27"/>
      <c r="Q60" s="27"/>
      <c r="R60" s="27"/>
      <c r="S60" s="27"/>
      <c r="T60" s="27"/>
      <c r="U60" s="23"/>
      <c r="V60" s="146"/>
      <c r="W60" s="23"/>
      <c r="X60" s="23"/>
      <c r="Y60" s="147"/>
      <c r="Z60" s="148"/>
      <c r="AL60" s="64"/>
      <c r="AM60" s="149"/>
      <c r="AN60" s="23"/>
      <c r="AO60" s="23"/>
      <c r="AP60" s="147"/>
      <c r="AQ60" s="148"/>
    </row>
    <row r="61" spans="1:43" ht="15.75">
      <c r="A61" s="63"/>
      <c r="B61" s="206"/>
      <c r="C61" s="188"/>
      <c r="D61" s="188"/>
      <c r="E61" s="188"/>
      <c r="F61" s="145"/>
      <c r="G61" s="200"/>
      <c r="H61" s="129"/>
      <c r="I61" s="145"/>
      <c r="J61" s="145"/>
      <c r="K61" s="200"/>
      <c r="L61" s="27"/>
      <c r="M61" s="27"/>
      <c r="N61" s="27"/>
      <c r="O61" s="27"/>
      <c r="P61" s="27"/>
      <c r="Q61" s="27"/>
      <c r="R61" s="27"/>
      <c r="S61" s="27"/>
      <c r="T61" s="27"/>
      <c r="U61" s="23"/>
      <c r="V61" s="146"/>
      <c r="W61" s="23"/>
      <c r="X61" s="23"/>
      <c r="Y61" s="147"/>
      <c r="Z61" s="148"/>
      <c r="AL61" s="64"/>
      <c r="AM61" s="149"/>
      <c r="AN61" s="23"/>
      <c r="AO61" s="23"/>
      <c r="AP61" s="147"/>
      <c r="AQ61" s="148"/>
    </row>
    <row r="62" spans="1:43" ht="15.75">
      <c r="A62" s="63"/>
      <c r="B62" s="206"/>
      <c r="C62" s="188"/>
      <c r="D62" s="188"/>
      <c r="E62" s="188"/>
      <c r="F62" s="145"/>
      <c r="G62" s="200"/>
      <c r="H62" s="129"/>
      <c r="I62" s="145"/>
      <c r="J62" s="145"/>
      <c r="K62" s="129"/>
      <c r="L62" s="27"/>
      <c r="M62" s="27"/>
      <c r="N62" s="27"/>
      <c r="O62" s="27"/>
      <c r="P62" s="27"/>
      <c r="Q62" s="27"/>
      <c r="R62" s="27"/>
      <c r="S62" s="27"/>
      <c r="T62" s="27"/>
      <c r="U62" s="23"/>
      <c r="V62" s="146"/>
      <c r="W62" s="23"/>
      <c r="X62" s="23"/>
      <c r="Y62" s="147"/>
      <c r="Z62" s="148"/>
      <c r="AL62" s="64"/>
      <c r="AM62" s="149"/>
      <c r="AN62" s="23"/>
      <c r="AO62" s="23"/>
      <c r="AP62" s="147"/>
      <c r="AQ62" s="148"/>
    </row>
    <row r="63" spans="1:43" ht="15.75">
      <c r="A63" s="63"/>
      <c r="B63" s="207"/>
      <c r="C63" s="188"/>
      <c r="D63" s="188"/>
      <c r="E63" s="188"/>
      <c r="F63" s="145"/>
      <c r="G63" s="200"/>
      <c r="H63" s="129"/>
      <c r="I63" s="145"/>
      <c r="J63" s="145"/>
      <c r="K63" s="129"/>
      <c r="L63" s="27"/>
      <c r="M63" s="27"/>
      <c r="N63" s="27"/>
      <c r="O63" s="27"/>
      <c r="P63" s="27"/>
      <c r="Q63" s="27"/>
      <c r="R63" s="27"/>
      <c r="S63" s="27"/>
      <c r="T63" s="27"/>
      <c r="U63" s="23"/>
      <c r="V63" s="146"/>
      <c r="W63" s="23"/>
      <c r="X63" s="23"/>
      <c r="Y63" s="147"/>
      <c r="Z63" s="148"/>
      <c r="AL63" s="64"/>
      <c r="AM63" s="149"/>
      <c r="AN63" s="23"/>
      <c r="AO63" s="23"/>
      <c r="AP63" s="147"/>
      <c r="AQ63" s="148"/>
    </row>
    <row r="64" spans="1:43" ht="15.75">
      <c r="A64" s="63"/>
      <c r="B64" s="207"/>
      <c r="C64" s="188"/>
      <c r="D64" s="188"/>
      <c r="E64" s="188"/>
      <c r="F64" s="145"/>
      <c r="G64" s="200"/>
      <c r="H64" s="129"/>
      <c r="I64" s="145"/>
      <c r="J64" s="145"/>
      <c r="K64" s="129"/>
      <c r="L64" s="27"/>
      <c r="M64" s="63"/>
      <c r="N64" s="63"/>
      <c r="O64" s="63"/>
      <c r="P64" s="63"/>
      <c r="Q64" s="63"/>
      <c r="R64" s="27"/>
      <c r="S64" s="27"/>
      <c r="T64" s="27"/>
      <c r="U64" s="23"/>
      <c r="V64" s="146"/>
      <c r="W64" s="23"/>
      <c r="X64" s="23"/>
      <c r="Y64" s="147"/>
      <c r="Z64" s="148"/>
      <c r="AL64" s="64"/>
      <c r="AM64" s="149"/>
      <c r="AN64" s="23"/>
      <c r="AO64" s="23"/>
      <c r="AP64" s="147"/>
      <c r="AQ64" s="148"/>
    </row>
    <row r="65" spans="1:43" ht="15.75">
      <c r="A65" s="63"/>
      <c r="B65" s="206"/>
      <c r="C65" s="188"/>
      <c r="D65" s="188"/>
      <c r="E65" s="188"/>
      <c r="F65" s="145"/>
      <c r="G65" s="200"/>
      <c r="H65" s="129"/>
      <c r="I65" s="145"/>
      <c r="J65" s="145"/>
      <c r="K65" s="129"/>
      <c r="L65" s="27"/>
      <c r="M65" s="63"/>
      <c r="N65" s="63"/>
      <c r="O65" s="63"/>
      <c r="P65" s="63"/>
      <c r="Q65" s="63"/>
      <c r="R65" s="27"/>
      <c r="S65" s="27"/>
      <c r="T65" s="27"/>
      <c r="U65" s="23"/>
      <c r="V65" s="146"/>
      <c r="W65" s="23"/>
      <c r="X65" s="23"/>
      <c r="Y65" s="147"/>
      <c r="Z65" s="148"/>
      <c r="AL65" s="64"/>
      <c r="AM65" s="149"/>
      <c r="AN65" s="23"/>
      <c r="AO65" s="23"/>
      <c r="AP65" s="147"/>
      <c r="AQ65" s="148"/>
    </row>
    <row r="66" spans="1:43" ht="15.75">
      <c r="A66" s="63"/>
      <c r="B66" s="206"/>
      <c r="C66" s="188"/>
      <c r="D66" s="188"/>
      <c r="E66" s="188"/>
      <c r="F66" s="145"/>
      <c r="G66" s="200"/>
      <c r="H66" s="129"/>
      <c r="I66" s="145"/>
      <c r="J66" s="145"/>
      <c r="K66" s="129"/>
      <c r="L66" s="27"/>
      <c r="M66" s="63"/>
      <c r="N66" s="63"/>
      <c r="O66" s="63"/>
      <c r="P66" s="63"/>
      <c r="Q66" s="63"/>
      <c r="R66" s="27"/>
      <c r="S66" s="27"/>
      <c r="T66" s="27"/>
      <c r="U66" s="23"/>
      <c r="V66" s="146"/>
      <c r="W66" s="23"/>
      <c r="X66" s="23"/>
      <c r="Y66" s="147"/>
      <c r="Z66" s="148"/>
      <c r="AL66" s="64"/>
      <c r="AM66" s="149"/>
      <c r="AN66" s="23"/>
      <c r="AO66" s="23"/>
      <c r="AP66" s="147"/>
      <c r="AQ66" s="148"/>
    </row>
    <row r="67" spans="1:43" ht="15.75">
      <c r="A67" s="63"/>
      <c r="B67" s="207"/>
      <c r="C67" s="188"/>
      <c r="D67" s="188"/>
      <c r="E67" s="188"/>
      <c r="F67" s="145"/>
      <c r="G67" s="200"/>
      <c r="H67" s="129"/>
      <c r="I67" s="145"/>
      <c r="J67" s="145"/>
      <c r="K67" s="129"/>
      <c r="L67" s="27"/>
      <c r="M67" s="63"/>
      <c r="N67" s="63"/>
      <c r="O67" s="63"/>
      <c r="P67" s="63"/>
      <c r="Q67" s="63"/>
      <c r="R67" s="27"/>
      <c r="S67" s="27"/>
      <c r="T67" s="27"/>
      <c r="U67" s="23"/>
      <c r="V67" s="146"/>
      <c r="W67" s="23"/>
      <c r="X67" s="23"/>
      <c r="Y67" s="147"/>
      <c r="Z67" s="148"/>
      <c r="AL67" s="64"/>
      <c r="AM67" s="149"/>
      <c r="AN67" s="23"/>
      <c r="AO67" s="23"/>
      <c r="AP67" s="147"/>
      <c r="AQ67" s="148"/>
    </row>
    <row r="68" spans="1:43" ht="15.75">
      <c r="A68" s="63"/>
      <c r="B68" s="207"/>
      <c r="C68" s="188"/>
      <c r="D68" s="188"/>
      <c r="E68" s="188"/>
      <c r="F68" s="145"/>
      <c r="G68" s="200"/>
      <c r="H68" s="129"/>
      <c r="I68" s="145"/>
      <c r="J68" s="145"/>
      <c r="K68" s="129"/>
      <c r="L68" s="27"/>
      <c r="M68" s="63"/>
      <c r="N68" s="63"/>
      <c r="O68" s="63"/>
      <c r="P68" s="63"/>
      <c r="Q68" s="63"/>
      <c r="R68" s="27"/>
      <c r="S68" s="27"/>
      <c r="T68" s="27"/>
      <c r="U68" s="23"/>
      <c r="V68" s="146"/>
      <c r="W68" s="23"/>
      <c r="X68" s="23"/>
      <c r="Y68" s="147"/>
      <c r="Z68" s="148"/>
      <c r="AL68" s="64"/>
      <c r="AM68" s="149"/>
      <c r="AN68" s="23"/>
      <c r="AO68" s="23"/>
      <c r="AP68" s="147"/>
      <c r="AQ68" s="148"/>
    </row>
    <row r="69" spans="1:43" ht="15.75">
      <c r="A69" s="63"/>
      <c r="B69" s="207"/>
      <c r="C69" s="188"/>
      <c r="D69" s="188"/>
      <c r="E69" s="188"/>
      <c r="F69" s="145"/>
      <c r="G69" s="200"/>
      <c r="H69" s="129"/>
      <c r="I69" s="145"/>
      <c r="J69" s="145"/>
      <c r="K69" s="129"/>
      <c r="L69" s="27"/>
      <c r="M69" s="63"/>
      <c r="N69" s="63"/>
      <c r="O69" s="63"/>
      <c r="P69" s="63"/>
      <c r="Q69" s="63"/>
      <c r="R69" s="27"/>
      <c r="S69" s="27"/>
      <c r="T69" s="27"/>
      <c r="U69" s="23"/>
      <c r="V69" s="146"/>
      <c r="W69" s="23"/>
      <c r="X69" s="23"/>
      <c r="Y69" s="147"/>
      <c r="Z69" s="148"/>
      <c r="AL69" s="64"/>
      <c r="AM69" s="149"/>
      <c r="AN69" s="23"/>
      <c r="AO69" s="23"/>
      <c r="AP69" s="147"/>
      <c r="AQ69" s="148"/>
    </row>
    <row r="70" spans="1:43" ht="15.75">
      <c r="A70" s="63"/>
      <c r="B70" s="207"/>
      <c r="C70" s="188"/>
      <c r="D70" s="188"/>
      <c r="E70" s="188"/>
      <c r="F70" s="145"/>
      <c r="G70" s="200"/>
      <c r="H70" s="129"/>
      <c r="I70" s="145"/>
      <c r="J70" s="145"/>
      <c r="K70" s="129"/>
      <c r="L70" s="27"/>
      <c r="M70" s="63"/>
      <c r="N70" s="63"/>
      <c r="O70" s="63"/>
      <c r="P70" s="63"/>
      <c r="Q70" s="63"/>
      <c r="R70" s="27"/>
      <c r="S70" s="27"/>
      <c r="T70" s="27"/>
      <c r="U70" s="23"/>
      <c r="V70" s="146"/>
      <c r="W70" s="23"/>
      <c r="X70" s="23"/>
      <c r="Y70" s="147"/>
      <c r="Z70" s="148"/>
      <c r="AL70" s="64"/>
      <c r="AM70" s="149"/>
      <c r="AN70" s="23"/>
      <c r="AO70" s="23"/>
      <c r="AP70" s="147"/>
      <c r="AQ70" s="148"/>
    </row>
    <row r="71" spans="1:43" ht="15.75">
      <c r="A71" s="63"/>
      <c r="B71" s="206"/>
      <c r="C71" s="188"/>
      <c r="D71" s="188"/>
      <c r="E71" s="188"/>
      <c r="F71" s="145"/>
      <c r="G71" s="200"/>
      <c r="H71" s="129"/>
      <c r="I71" s="145"/>
      <c r="J71" s="145"/>
      <c r="K71" s="129"/>
      <c r="L71" s="27"/>
      <c r="M71" s="63"/>
      <c r="N71" s="63"/>
      <c r="O71" s="63"/>
      <c r="P71" s="63"/>
      <c r="Q71" s="63"/>
      <c r="R71" s="27"/>
      <c r="S71" s="27"/>
      <c r="T71" s="27"/>
      <c r="U71" s="23"/>
      <c r="V71" s="146"/>
      <c r="W71" s="23"/>
      <c r="X71" s="23"/>
      <c r="Y71" s="147"/>
      <c r="Z71" s="148"/>
      <c r="AL71" s="64"/>
      <c r="AM71" s="149"/>
      <c r="AN71" s="23"/>
      <c r="AO71" s="23"/>
      <c r="AP71" s="147"/>
      <c r="AQ71" s="148"/>
    </row>
    <row r="72" spans="1:43" ht="15.75">
      <c r="A72" s="63"/>
      <c r="B72" s="207"/>
      <c r="C72" s="232"/>
      <c r="D72" s="188"/>
      <c r="E72" s="188"/>
      <c r="F72" s="145"/>
      <c r="G72" s="200"/>
      <c r="H72" s="129"/>
      <c r="I72" s="145"/>
      <c r="J72" s="145"/>
      <c r="K72" s="129"/>
      <c r="L72" s="27"/>
      <c r="M72" s="63"/>
      <c r="N72" s="63"/>
      <c r="O72" s="63"/>
      <c r="P72" s="63"/>
      <c r="Q72" s="63"/>
      <c r="R72" s="27"/>
      <c r="S72" s="27"/>
      <c r="T72" s="27"/>
      <c r="U72" s="23"/>
      <c r="V72" s="146"/>
      <c r="W72" s="23"/>
      <c r="X72" s="23"/>
      <c r="Y72" s="147"/>
      <c r="Z72" s="148"/>
      <c r="AL72" s="64"/>
      <c r="AM72" s="149"/>
      <c r="AN72" s="23"/>
      <c r="AO72" s="23"/>
      <c r="AP72" s="147"/>
      <c r="AQ72" s="148"/>
    </row>
    <row r="73" spans="1:43" ht="15.75">
      <c r="A73" s="63"/>
      <c r="B73" s="206"/>
      <c r="C73" s="188"/>
      <c r="D73" s="188"/>
      <c r="E73" s="188"/>
      <c r="F73" s="145"/>
      <c r="G73" s="200"/>
      <c r="H73" s="129"/>
      <c r="I73" s="145"/>
      <c r="J73" s="145"/>
      <c r="K73" s="129"/>
      <c r="L73" s="27"/>
      <c r="M73" s="63"/>
      <c r="N73" s="63"/>
      <c r="O73" s="63"/>
      <c r="P73" s="63"/>
      <c r="Q73" s="63"/>
      <c r="R73" s="27"/>
      <c r="S73" s="27"/>
      <c r="T73" s="27"/>
      <c r="U73" s="23"/>
      <c r="V73" s="146"/>
      <c r="W73" s="23"/>
      <c r="X73" s="23"/>
      <c r="Y73" s="147"/>
      <c r="Z73" s="148"/>
      <c r="AL73" s="64"/>
      <c r="AM73" s="149"/>
      <c r="AN73" s="23"/>
      <c r="AO73" s="23"/>
      <c r="AP73" s="147"/>
      <c r="AQ73" s="148"/>
    </row>
    <row r="74" spans="1:43" ht="15.75">
      <c r="A74" s="63"/>
      <c r="B74" s="206"/>
      <c r="C74" s="188"/>
      <c r="D74" s="188"/>
      <c r="E74" s="188"/>
      <c r="F74" s="145"/>
      <c r="G74" s="200"/>
      <c r="H74" s="129"/>
      <c r="I74" s="145"/>
      <c r="J74" s="145"/>
      <c r="K74" s="129"/>
      <c r="L74" s="27"/>
      <c r="M74" s="63"/>
      <c r="N74" s="63"/>
      <c r="O74" s="63"/>
      <c r="P74" s="63"/>
      <c r="Q74" s="63"/>
      <c r="R74" s="27"/>
      <c r="S74" s="27"/>
      <c r="T74" s="27"/>
      <c r="U74" s="23"/>
      <c r="V74" s="146"/>
      <c r="W74" s="23"/>
      <c r="X74" s="23"/>
      <c r="Y74" s="147"/>
      <c r="Z74" s="148"/>
      <c r="AL74" s="64"/>
      <c r="AM74" s="149"/>
      <c r="AN74" s="23"/>
      <c r="AO74" s="23"/>
      <c r="AP74" s="147"/>
      <c r="AQ74" s="148"/>
    </row>
    <row r="75" spans="1:43" ht="15.75">
      <c r="A75" s="63"/>
      <c r="B75" s="206"/>
      <c r="C75" s="188"/>
      <c r="D75" s="188"/>
      <c r="E75" s="188"/>
      <c r="F75" s="145"/>
      <c r="G75" s="200"/>
      <c r="H75" s="129"/>
      <c r="I75" s="145"/>
      <c r="J75" s="145"/>
      <c r="K75" s="129"/>
      <c r="L75" s="27"/>
      <c r="M75" s="63"/>
      <c r="N75" s="63"/>
      <c r="O75" s="63"/>
      <c r="P75" s="63"/>
      <c r="Q75" s="63"/>
      <c r="R75" s="27"/>
      <c r="S75" s="27"/>
      <c r="T75" s="27"/>
      <c r="U75" s="23"/>
      <c r="V75" s="146"/>
      <c r="W75" s="23"/>
      <c r="X75" s="23"/>
      <c r="Y75" s="147"/>
      <c r="Z75" s="148"/>
      <c r="AL75" s="64"/>
      <c r="AM75" s="149"/>
      <c r="AN75" s="23"/>
      <c r="AO75" s="23"/>
      <c r="AP75" s="147"/>
      <c r="AQ75" s="148"/>
    </row>
    <row r="76" spans="1:43" ht="15.75">
      <c r="A76" s="63"/>
      <c r="B76" s="206"/>
      <c r="C76" s="188"/>
      <c r="D76" s="188"/>
      <c r="E76" s="188"/>
      <c r="F76" s="145"/>
      <c r="G76" s="200"/>
      <c r="H76" s="129"/>
      <c r="I76" s="145"/>
      <c r="J76" s="145"/>
      <c r="K76" s="129"/>
      <c r="L76" s="27"/>
      <c r="M76" s="63"/>
      <c r="N76" s="63"/>
      <c r="O76" s="63"/>
      <c r="P76" s="63"/>
      <c r="Q76" s="63"/>
      <c r="R76" s="27"/>
      <c r="S76" s="27"/>
      <c r="T76" s="27"/>
      <c r="U76" s="23"/>
      <c r="V76" s="146"/>
      <c r="W76" s="23"/>
      <c r="X76" s="23"/>
      <c r="Y76" s="147"/>
      <c r="Z76" s="148"/>
      <c r="AL76" s="64"/>
      <c r="AM76" s="149"/>
      <c r="AN76" s="23"/>
      <c r="AO76" s="23"/>
      <c r="AP76" s="147"/>
      <c r="AQ76" s="148"/>
    </row>
    <row r="77" spans="1:43" ht="15.75">
      <c r="A77" s="63"/>
      <c r="B77" s="206"/>
      <c r="C77" s="188"/>
      <c r="D77" s="188"/>
      <c r="E77" s="188"/>
      <c r="F77" s="145"/>
      <c r="G77" s="200"/>
      <c r="H77" s="129"/>
      <c r="I77" s="145"/>
      <c r="J77" s="145"/>
      <c r="K77" s="129"/>
      <c r="L77" s="27"/>
      <c r="M77" s="63"/>
      <c r="N77" s="63"/>
      <c r="O77" s="63"/>
      <c r="P77" s="63"/>
      <c r="Q77" s="63"/>
      <c r="R77" s="27"/>
      <c r="S77" s="27"/>
      <c r="T77" s="27"/>
      <c r="U77" s="23"/>
      <c r="V77" s="146"/>
      <c r="W77" s="23"/>
      <c r="X77" s="23"/>
      <c r="Y77" s="147"/>
      <c r="Z77" s="148"/>
      <c r="AL77" s="64"/>
      <c r="AM77" s="149"/>
      <c r="AN77" s="23"/>
      <c r="AO77" s="23"/>
      <c r="AP77" s="147"/>
      <c r="AQ77" s="148"/>
    </row>
    <row r="78" spans="1:43" ht="15.75">
      <c r="A78" s="63"/>
      <c r="B78" s="206"/>
      <c r="C78" s="188"/>
      <c r="D78" s="188"/>
      <c r="E78" s="188"/>
      <c r="F78" s="145"/>
      <c r="G78" s="200"/>
      <c r="H78" s="129"/>
      <c r="I78" s="145"/>
      <c r="J78" s="145"/>
      <c r="K78" s="129"/>
      <c r="L78" s="27"/>
      <c r="M78" s="63"/>
      <c r="N78" s="63"/>
      <c r="O78" s="63"/>
      <c r="P78" s="63"/>
      <c r="Q78" s="63"/>
      <c r="R78" s="27"/>
      <c r="S78" s="27"/>
      <c r="T78" s="27"/>
      <c r="U78" s="23"/>
      <c r="V78" s="146"/>
      <c r="W78" s="23"/>
      <c r="X78" s="23"/>
      <c r="Y78" s="147"/>
      <c r="Z78" s="148"/>
      <c r="AL78" s="64"/>
      <c r="AM78" s="149"/>
      <c r="AN78" s="23"/>
      <c r="AO78" s="23"/>
      <c r="AP78" s="147"/>
      <c r="AQ78" s="148"/>
    </row>
    <row r="79" spans="1:43" ht="15.75">
      <c r="A79" s="63"/>
      <c r="B79" s="206"/>
      <c r="C79" s="188"/>
      <c r="D79" s="188"/>
      <c r="E79" s="188"/>
      <c r="F79" s="145"/>
      <c r="G79" s="200"/>
      <c r="H79" s="129"/>
      <c r="I79" s="145"/>
      <c r="J79" s="145"/>
      <c r="K79" s="129"/>
      <c r="L79" s="27"/>
      <c r="M79" s="63"/>
      <c r="N79" s="63"/>
      <c r="O79" s="63"/>
      <c r="P79" s="63"/>
      <c r="Q79" s="63"/>
      <c r="R79" s="27"/>
      <c r="S79" s="27"/>
      <c r="T79" s="27"/>
      <c r="U79" s="23"/>
      <c r="V79" s="146"/>
      <c r="W79" s="23"/>
      <c r="X79" s="23"/>
      <c r="Y79" s="147"/>
      <c r="Z79" s="148"/>
      <c r="AL79" s="64"/>
      <c r="AM79" s="149"/>
      <c r="AN79" s="23"/>
      <c r="AO79" s="23"/>
      <c r="AP79" s="147"/>
      <c r="AQ79" s="148"/>
    </row>
    <row r="80" spans="1:43" ht="15.75">
      <c r="A80" s="63"/>
      <c r="B80" s="207"/>
      <c r="C80" s="188"/>
      <c r="D80" s="188"/>
      <c r="E80" s="188"/>
      <c r="F80" s="145"/>
      <c r="G80" s="200"/>
      <c r="H80" s="129"/>
      <c r="I80" s="145"/>
      <c r="J80" s="145"/>
      <c r="K80" s="129"/>
      <c r="L80" s="27"/>
      <c r="M80" s="63"/>
      <c r="N80" s="63"/>
      <c r="O80" s="63"/>
      <c r="P80" s="63"/>
      <c r="Q80" s="63"/>
      <c r="R80" s="27"/>
      <c r="S80" s="27"/>
      <c r="T80" s="27"/>
      <c r="U80" s="23"/>
      <c r="V80" s="146"/>
      <c r="W80" s="23"/>
      <c r="X80" s="23"/>
      <c r="Y80" s="147"/>
      <c r="Z80" s="148"/>
      <c r="AL80" s="64"/>
      <c r="AM80" s="149"/>
      <c r="AN80" s="23"/>
      <c r="AO80" s="23"/>
      <c r="AP80" s="147"/>
      <c r="AQ80" s="148"/>
    </row>
    <row r="81" spans="1:43" ht="15.75">
      <c r="A81" s="63"/>
      <c r="B81" s="207"/>
      <c r="C81" s="188"/>
      <c r="D81" s="188"/>
      <c r="E81" s="188"/>
      <c r="F81" s="145"/>
      <c r="G81" s="200"/>
      <c r="H81" s="129"/>
      <c r="I81" s="145"/>
      <c r="J81" s="145"/>
      <c r="K81" s="129"/>
      <c r="L81" s="27"/>
      <c r="M81" s="63"/>
      <c r="N81" s="63"/>
      <c r="O81" s="63"/>
      <c r="P81" s="63"/>
      <c r="Q81" s="63"/>
      <c r="R81" s="27"/>
      <c r="S81" s="27"/>
      <c r="T81" s="27"/>
      <c r="U81" s="23"/>
      <c r="V81" s="146"/>
      <c r="W81" s="23"/>
      <c r="X81" s="23"/>
      <c r="Y81" s="147"/>
      <c r="Z81" s="148"/>
      <c r="AL81" s="64"/>
      <c r="AM81" s="149"/>
      <c r="AN81" s="23"/>
      <c r="AO81" s="23"/>
      <c r="AP81" s="147"/>
      <c r="AQ81" s="148"/>
    </row>
    <row r="82" spans="1:43" ht="15.75">
      <c r="A82" s="63"/>
      <c r="B82" s="206"/>
      <c r="C82" s="188"/>
      <c r="D82" s="188"/>
      <c r="E82" s="188"/>
      <c r="F82" s="145"/>
      <c r="G82" s="200"/>
      <c r="H82" s="129"/>
      <c r="I82" s="145"/>
      <c r="J82" s="145"/>
      <c r="K82" s="129"/>
      <c r="L82" s="27"/>
      <c r="M82" s="63"/>
      <c r="N82" s="63"/>
      <c r="O82" s="63"/>
      <c r="P82" s="63"/>
      <c r="Q82" s="63"/>
      <c r="R82" s="27"/>
      <c r="S82" s="27"/>
      <c r="T82" s="27"/>
      <c r="U82" s="23"/>
      <c r="V82" s="146"/>
      <c r="W82" s="23"/>
      <c r="X82" s="23"/>
      <c r="Y82" s="147"/>
      <c r="Z82" s="148"/>
      <c r="AL82" s="64"/>
      <c r="AM82" s="149"/>
      <c r="AN82" s="23"/>
      <c r="AO82" s="23"/>
      <c r="AP82" s="147"/>
      <c r="AQ82" s="148"/>
    </row>
    <row r="83" spans="1:43" ht="15.75">
      <c r="A83" s="63"/>
      <c r="B83" s="207"/>
      <c r="C83" s="188"/>
      <c r="D83" s="188"/>
      <c r="E83" s="188"/>
      <c r="F83" s="145"/>
      <c r="G83" s="200"/>
      <c r="H83" s="129"/>
      <c r="I83" s="145"/>
      <c r="J83" s="145"/>
      <c r="K83" s="129"/>
      <c r="L83" s="27"/>
      <c r="M83" s="63"/>
      <c r="N83" s="63"/>
      <c r="O83" s="63"/>
      <c r="P83" s="63"/>
      <c r="Q83" s="63"/>
      <c r="R83" s="27"/>
      <c r="S83" s="27"/>
      <c r="T83" s="27"/>
      <c r="U83" s="23"/>
      <c r="V83" s="146"/>
      <c r="W83" s="23"/>
      <c r="X83" s="23"/>
      <c r="Y83" s="147"/>
      <c r="Z83" s="148"/>
      <c r="AL83" s="64"/>
      <c r="AM83" s="149"/>
      <c r="AN83" s="23"/>
      <c r="AO83" s="23"/>
      <c r="AP83" s="147"/>
      <c r="AQ83" s="148"/>
    </row>
    <row r="84" spans="1:43" ht="15.75">
      <c r="A84" s="63"/>
      <c r="B84" s="207"/>
      <c r="C84" s="188"/>
      <c r="D84" s="188"/>
      <c r="E84" s="188"/>
      <c r="F84" s="145"/>
      <c r="G84" s="200"/>
      <c r="H84" s="129"/>
      <c r="I84" s="145"/>
      <c r="J84" s="145"/>
      <c r="K84" s="129"/>
      <c r="L84" s="27"/>
      <c r="M84" s="63"/>
      <c r="N84" s="63"/>
      <c r="O84" s="63"/>
      <c r="P84" s="63"/>
      <c r="Q84" s="63"/>
      <c r="R84" s="27"/>
      <c r="S84" s="27"/>
      <c r="T84" s="27"/>
      <c r="U84" s="23"/>
      <c r="V84" s="146"/>
      <c r="W84" s="23"/>
      <c r="X84" s="23"/>
      <c r="Y84" s="147"/>
      <c r="Z84" s="148"/>
      <c r="AL84" s="64"/>
      <c r="AM84" s="149"/>
      <c r="AN84" s="23"/>
      <c r="AO84" s="23"/>
      <c r="AP84" s="147"/>
      <c r="AQ84" s="148"/>
    </row>
    <row r="85" spans="1:43" ht="15.75">
      <c r="A85" s="63"/>
      <c r="B85" s="206"/>
      <c r="C85" s="188"/>
      <c r="D85" s="188"/>
      <c r="E85" s="188"/>
      <c r="F85" s="145"/>
      <c r="G85" s="200"/>
      <c r="H85" s="129"/>
      <c r="I85" s="145"/>
      <c r="J85" s="145"/>
      <c r="K85" s="129"/>
      <c r="L85" s="27"/>
      <c r="M85" s="63"/>
      <c r="N85" s="63"/>
      <c r="O85" s="63"/>
      <c r="P85" s="63"/>
      <c r="Q85" s="63"/>
      <c r="R85" s="27"/>
      <c r="S85" s="27"/>
      <c r="T85" s="27"/>
      <c r="U85" s="23"/>
      <c r="V85" s="146"/>
      <c r="W85" s="23"/>
      <c r="X85" s="23"/>
      <c r="Y85" s="147"/>
      <c r="Z85" s="148"/>
      <c r="AL85" s="64"/>
      <c r="AM85" s="149"/>
      <c r="AN85" s="23"/>
      <c r="AO85" s="23"/>
      <c r="AP85" s="147"/>
      <c r="AQ85" s="148"/>
    </row>
    <row r="86" spans="1:43" ht="15.75">
      <c r="A86" s="63"/>
      <c r="B86" s="206"/>
      <c r="C86" s="188"/>
      <c r="D86" s="188"/>
      <c r="E86" s="188"/>
      <c r="F86" s="145"/>
      <c r="G86" s="200"/>
      <c r="H86" s="129"/>
      <c r="I86" s="145"/>
      <c r="J86" s="145"/>
      <c r="K86" s="129"/>
      <c r="L86" s="27"/>
      <c r="M86" s="63"/>
      <c r="N86" s="63"/>
      <c r="O86" s="63"/>
      <c r="P86" s="63"/>
      <c r="Q86" s="63"/>
      <c r="R86" s="27"/>
      <c r="S86" s="27"/>
      <c r="T86" s="27"/>
      <c r="U86" s="23"/>
      <c r="V86" s="146"/>
      <c r="W86" s="23"/>
      <c r="X86" s="23"/>
      <c r="Y86" s="147"/>
      <c r="Z86" s="148"/>
      <c r="AL86" s="64"/>
      <c r="AM86" s="149"/>
      <c r="AN86" s="23"/>
      <c r="AO86" s="23"/>
      <c r="AP86" s="147"/>
      <c r="AQ86" s="148"/>
    </row>
    <row r="87" spans="1:43" ht="15.75">
      <c r="A87" s="63"/>
      <c r="B87" s="206"/>
      <c r="C87" s="188"/>
      <c r="D87" s="188"/>
      <c r="E87" s="188"/>
      <c r="F87" s="145"/>
      <c r="G87" s="200"/>
      <c r="H87" s="129"/>
      <c r="I87" s="145"/>
      <c r="J87" s="145"/>
      <c r="K87" s="129"/>
      <c r="L87" s="27"/>
      <c r="M87" s="63"/>
      <c r="N87" s="63"/>
      <c r="O87" s="63"/>
      <c r="P87" s="63"/>
      <c r="Q87" s="63"/>
      <c r="R87" s="27"/>
      <c r="S87" s="27"/>
      <c r="T87" s="27"/>
      <c r="U87" s="23"/>
      <c r="V87" s="146"/>
      <c r="W87" s="23"/>
      <c r="X87" s="23"/>
      <c r="Y87" s="147"/>
      <c r="Z87" s="148"/>
      <c r="AL87" s="64"/>
      <c r="AM87" s="149"/>
      <c r="AN87" s="23"/>
      <c r="AO87" s="23"/>
      <c r="AP87" s="147"/>
      <c r="AQ87" s="148"/>
    </row>
    <row r="88" spans="1:43" ht="15.75">
      <c r="A88" s="63"/>
      <c r="B88" s="137"/>
      <c r="C88" s="188"/>
      <c r="D88" s="188"/>
      <c r="E88" s="188"/>
      <c r="F88" s="145"/>
      <c r="G88" s="200"/>
      <c r="H88" s="129"/>
      <c r="I88" s="145"/>
      <c r="J88" s="145"/>
      <c r="K88" s="129"/>
      <c r="L88" s="27"/>
      <c r="M88" s="63"/>
      <c r="N88" s="63"/>
      <c r="O88" s="63"/>
      <c r="P88" s="63"/>
      <c r="Q88" s="63"/>
      <c r="R88" s="27"/>
      <c r="S88" s="27"/>
      <c r="T88" s="27"/>
      <c r="U88" s="23"/>
      <c r="V88" s="146"/>
      <c r="W88" s="23"/>
      <c r="X88" s="23"/>
      <c r="Y88" s="147"/>
      <c r="Z88" s="148"/>
      <c r="AL88" s="64"/>
      <c r="AM88" s="149"/>
      <c r="AN88" s="23"/>
      <c r="AO88" s="23"/>
      <c r="AP88" s="147"/>
      <c r="AQ88" s="148"/>
    </row>
    <row r="89" spans="1:43" ht="15.75">
      <c r="A89" s="63"/>
      <c r="B89" s="137"/>
      <c r="C89" s="188"/>
      <c r="D89" s="188"/>
      <c r="E89" s="188"/>
      <c r="F89" s="145"/>
      <c r="G89" s="233"/>
      <c r="H89" s="129"/>
      <c r="I89" s="145"/>
      <c r="J89" s="145"/>
      <c r="K89" s="129"/>
      <c r="L89" s="27"/>
      <c r="M89" s="63"/>
      <c r="N89" s="63"/>
      <c r="O89" s="63"/>
      <c r="P89" s="63"/>
      <c r="Q89" s="63"/>
      <c r="R89" s="27"/>
      <c r="S89" s="27"/>
      <c r="T89" s="27"/>
      <c r="U89" s="23"/>
      <c r="V89" s="146"/>
      <c r="W89" s="23"/>
      <c r="X89" s="23"/>
      <c r="Y89" s="147"/>
      <c r="Z89" s="148"/>
      <c r="AL89" s="64"/>
      <c r="AM89" s="149"/>
      <c r="AN89" s="23"/>
      <c r="AO89" s="23"/>
      <c r="AP89" s="147"/>
      <c r="AQ89" s="148"/>
    </row>
    <row r="90" spans="1:43" ht="15.75">
      <c r="A90" s="63"/>
      <c r="B90" s="207"/>
      <c r="C90" s="188"/>
      <c r="D90" s="188"/>
      <c r="E90" s="188"/>
      <c r="F90" s="145"/>
      <c r="G90" s="200"/>
      <c r="H90" s="129"/>
      <c r="I90" s="145"/>
      <c r="J90" s="145"/>
      <c r="K90" s="129"/>
      <c r="L90" s="27"/>
      <c r="M90" s="63"/>
      <c r="N90" s="63"/>
      <c r="O90" s="63"/>
      <c r="P90" s="63"/>
      <c r="Q90" s="63"/>
      <c r="R90" s="27"/>
      <c r="S90" s="27"/>
      <c r="T90" s="27"/>
      <c r="U90" s="23"/>
      <c r="V90" s="146"/>
      <c r="W90" s="23"/>
      <c r="X90" s="23"/>
      <c r="Y90" s="147"/>
      <c r="Z90" s="148"/>
      <c r="AL90" s="64"/>
      <c r="AM90" s="149"/>
      <c r="AN90" s="23"/>
      <c r="AO90" s="23"/>
      <c r="AP90" s="147"/>
      <c r="AQ90" s="148"/>
    </row>
    <row r="91" spans="1:43" ht="15.75">
      <c r="A91" s="63"/>
      <c r="B91" s="206"/>
      <c r="C91" s="188"/>
      <c r="D91" s="188"/>
      <c r="E91" s="188"/>
      <c r="F91" s="145"/>
      <c r="G91" s="200"/>
      <c r="H91" s="129"/>
      <c r="I91" s="145"/>
      <c r="J91" s="145"/>
      <c r="K91" s="129"/>
      <c r="L91" s="27"/>
      <c r="M91" s="63"/>
      <c r="N91" s="63"/>
      <c r="O91" s="63"/>
      <c r="P91" s="63"/>
      <c r="Q91" s="63"/>
      <c r="R91" s="27"/>
      <c r="S91" s="27"/>
      <c r="T91" s="27"/>
      <c r="U91" s="23"/>
      <c r="V91" s="146"/>
      <c r="W91" s="23"/>
      <c r="X91" s="23"/>
      <c r="Y91" s="147"/>
      <c r="Z91" s="148"/>
      <c r="AL91" s="64"/>
      <c r="AM91" s="149"/>
      <c r="AN91" s="23"/>
      <c r="AO91" s="23"/>
      <c r="AP91" s="147"/>
      <c r="AQ91" s="148"/>
    </row>
    <row r="92" spans="1:43" ht="15.75">
      <c r="A92" s="63"/>
      <c r="B92" s="206"/>
      <c r="C92" s="188"/>
      <c r="D92" s="188"/>
      <c r="E92" s="188"/>
      <c r="F92" s="145"/>
      <c r="G92" s="200"/>
      <c r="H92" s="129"/>
      <c r="I92" s="145"/>
      <c r="J92" s="145"/>
      <c r="K92" s="129"/>
      <c r="L92" s="27"/>
      <c r="M92" s="63"/>
      <c r="N92" s="63"/>
      <c r="O92" s="63"/>
      <c r="P92" s="63"/>
      <c r="Q92" s="63"/>
      <c r="R92" s="27"/>
      <c r="S92" s="27"/>
      <c r="T92" s="27"/>
      <c r="U92" s="23"/>
      <c r="V92" s="146"/>
      <c r="W92" s="23"/>
      <c r="X92" s="23"/>
      <c r="Y92" s="147"/>
      <c r="Z92" s="148"/>
      <c r="AL92" s="64"/>
      <c r="AM92" s="149"/>
      <c r="AN92" s="23"/>
      <c r="AO92" s="23"/>
      <c r="AP92" s="147"/>
      <c r="AQ92" s="148"/>
    </row>
    <row r="93" spans="1:43" ht="15.75">
      <c r="A93" s="63"/>
      <c r="B93" s="206"/>
      <c r="C93" s="188"/>
      <c r="D93" s="188"/>
      <c r="E93" s="188"/>
      <c r="F93" s="145"/>
      <c r="G93" s="200"/>
      <c r="H93" s="129"/>
      <c r="I93" s="145"/>
      <c r="J93" s="145"/>
      <c r="K93" s="129"/>
      <c r="L93" s="27"/>
      <c r="M93" s="63"/>
      <c r="N93" s="63"/>
      <c r="O93" s="63"/>
      <c r="P93" s="63"/>
      <c r="Q93" s="63"/>
      <c r="R93" s="27"/>
      <c r="S93" s="27"/>
      <c r="T93" s="27"/>
      <c r="U93" s="23"/>
      <c r="V93" s="146"/>
      <c r="W93" s="23"/>
      <c r="X93" s="23"/>
      <c r="Y93" s="147"/>
      <c r="Z93" s="148"/>
      <c r="AL93" s="64"/>
      <c r="AM93" s="149"/>
      <c r="AN93" s="23"/>
      <c r="AO93" s="23"/>
      <c r="AP93" s="147"/>
      <c r="AQ93" s="148"/>
    </row>
    <row r="94" spans="1:43" ht="15.75">
      <c r="A94" s="63"/>
      <c r="B94" s="206"/>
      <c r="C94" s="188"/>
      <c r="D94" s="188"/>
      <c r="E94" s="188"/>
      <c r="F94" s="145"/>
      <c r="G94" s="200"/>
      <c r="H94" s="129"/>
      <c r="I94" s="145"/>
      <c r="J94" s="145"/>
      <c r="K94" s="129"/>
      <c r="L94" s="27"/>
      <c r="M94" s="63"/>
      <c r="N94" s="63"/>
      <c r="O94" s="63"/>
      <c r="P94" s="63"/>
      <c r="Q94" s="63"/>
      <c r="R94" s="27"/>
      <c r="S94" s="27"/>
      <c r="T94" s="27"/>
      <c r="U94" s="23"/>
      <c r="V94" s="146"/>
      <c r="W94" s="23"/>
      <c r="X94" s="23"/>
      <c r="Y94" s="147"/>
      <c r="Z94" s="148"/>
      <c r="AL94" s="64"/>
      <c r="AM94" s="149"/>
      <c r="AN94" s="23"/>
      <c r="AO94" s="23"/>
      <c r="AP94" s="147"/>
      <c r="AQ94" s="148"/>
    </row>
    <row r="95" spans="1:43" ht="15.75">
      <c r="A95" s="63"/>
      <c r="B95" s="206"/>
      <c r="C95" s="188"/>
      <c r="D95" s="188"/>
      <c r="E95" s="188"/>
      <c r="F95" s="145"/>
      <c r="G95" s="200"/>
      <c r="H95" s="129"/>
      <c r="I95" s="145"/>
      <c r="J95" s="145"/>
      <c r="K95" s="129"/>
      <c r="L95" s="27"/>
      <c r="M95" s="63"/>
      <c r="N95" s="63"/>
      <c r="O95" s="63"/>
      <c r="P95" s="63"/>
      <c r="Q95" s="63"/>
      <c r="R95" s="27"/>
      <c r="S95" s="27"/>
      <c r="T95" s="27"/>
      <c r="U95" s="23"/>
      <c r="V95" s="146"/>
      <c r="W95" s="23"/>
      <c r="X95" s="23"/>
      <c r="Y95" s="147"/>
      <c r="Z95" s="148"/>
      <c r="AL95" s="64"/>
      <c r="AM95" s="149"/>
      <c r="AN95" s="23"/>
      <c r="AO95" s="23"/>
      <c r="AP95" s="147"/>
      <c r="AQ95" s="148"/>
    </row>
    <row r="96" spans="1:43" ht="15.75">
      <c r="A96" s="63"/>
      <c r="B96" s="206"/>
      <c r="C96" s="188"/>
      <c r="D96" s="188"/>
      <c r="E96" s="188"/>
      <c r="F96" s="145"/>
      <c r="G96" s="200"/>
      <c r="H96" s="129"/>
      <c r="I96" s="145"/>
      <c r="J96" s="145"/>
      <c r="K96" s="129"/>
      <c r="L96" s="228"/>
      <c r="M96" s="63"/>
      <c r="N96" s="63"/>
      <c r="O96" s="63"/>
      <c r="P96" s="63"/>
      <c r="Q96" s="63"/>
      <c r="R96" s="27"/>
      <c r="S96" s="27"/>
      <c r="T96" s="27"/>
      <c r="U96" s="23"/>
      <c r="V96" s="146"/>
      <c r="W96" s="23"/>
      <c r="X96" s="23"/>
      <c r="Y96" s="147"/>
      <c r="Z96" s="148"/>
      <c r="AL96" s="64"/>
      <c r="AM96" s="149"/>
      <c r="AN96" s="23"/>
      <c r="AO96" s="23"/>
      <c r="AP96" s="147"/>
      <c r="AQ96" s="148"/>
    </row>
    <row r="97" spans="1:43" ht="15.75">
      <c r="A97" s="63"/>
      <c r="B97" s="137"/>
      <c r="C97" s="188"/>
      <c r="D97" s="188"/>
      <c r="E97" s="188"/>
      <c r="F97" s="145"/>
      <c r="G97" s="200"/>
      <c r="H97" s="129"/>
      <c r="I97" s="145"/>
      <c r="J97" s="145"/>
      <c r="K97" s="129"/>
      <c r="L97" s="27"/>
      <c r="M97" s="63"/>
      <c r="N97" s="63"/>
      <c r="O97" s="63"/>
      <c r="P97" s="63"/>
      <c r="Q97" s="63"/>
      <c r="R97" s="27"/>
      <c r="S97" s="27"/>
      <c r="T97" s="27"/>
      <c r="U97" s="23"/>
      <c r="V97" s="146"/>
      <c r="W97" s="23"/>
      <c r="X97" s="23"/>
      <c r="Y97" s="147"/>
      <c r="Z97" s="148"/>
      <c r="AL97" s="64"/>
      <c r="AM97" s="149"/>
      <c r="AN97" s="23"/>
      <c r="AO97" s="23"/>
      <c r="AP97" s="147"/>
      <c r="AQ97" s="148"/>
    </row>
    <row r="98" spans="1:43" ht="15.75">
      <c r="A98" s="63"/>
      <c r="B98" s="234"/>
      <c r="C98" s="188"/>
      <c r="D98" s="188"/>
      <c r="E98" s="188"/>
      <c r="F98" s="145"/>
      <c r="G98" s="235"/>
      <c r="H98" s="129"/>
      <c r="I98" s="145"/>
      <c r="J98" s="145"/>
      <c r="K98" s="129"/>
      <c r="L98" s="27"/>
      <c r="M98" s="63"/>
      <c r="N98" s="63"/>
      <c r="O98" s="63"/>
      <c r="P98" s="63"/>
      <c r="Q98" s="63"/>
      <c r="R98" s="27"/>
      <c r="S98" s="27"/>
      <c r="T98" s="27"/>
      <c r="U98" s="23"/>
      <c r="V98" s="154"/>
      <c r="W98" s="23"/>
      <c r="X98" s="23"/>
      <c r="Y98" s="147"/>
      <c r="Z98" s="148"/>
      <c r="AL98" s="64"/>
      <c r="AM98" s="149"/>
      <c r="AN98" s="23"/>
      <c r="AO98" s="23"/>
      <c r="AP98" s="147"/>
      <c r="AQ98" s="148"/>
    </row>
    <row r="99" spans="1:43" ht="15.75">
      <c r="A99" s="63"/>
      <c r="B99" s="234"/>
      <c r="C99" s="188"/>
      <c r="D99" s="188"/>
      <c r="E99" s="188"/>
      <c r="F99" s="145"/>
      <c r="G99" s="235"/>
      <c r="H99" s="129"/>
      <c r="I99" s="145"/>
      <c r="J99" s="145"/>
      <c r="K99" s="129"/>
      <c r="L99" s="27"/>
      <c r="M99" s="63"/>
      <c r="N99" s="63"/>
      <c r="O99" s="63"/>
      <c r="P99" s="63"/>
      <c r="Q99" s="63"/>
      <c r="R99" s="27"/>
      <c r="S99" s="27"/>
      <c r="T99" s="27"/>
      <c r="U99" s="23"/>
      <c r="V99" s="154"/>
      <c r="W99" s="23"/>
      <c r="X99" s="23"/>
      <c r="Y99" s="147"/>
      <c r="Z99" s="148"/>
      <c r="AL99" s="64"/>
      <c r="AM99" s="149"/>
      <c r="AN99" s="23"/>
      <c r="AO99" s="23"/>
      <c r="AP99" s="147"/>
      <c r="AQ99" s="148"/>
    </row>
    <row r="100" spans="1:43" ht="15.75">
      <c r="A100" s="63"/>
      <c r="B100" s="236"/>
      <c r="C100" s="188"/>
      <c r="D100" s="188"/>
      <c r="E100" s="188"/>
      <c r="F100" s="145"/>
      <c r="G100" s="235"/>
      <c r="H100" s="129"/>
      <c r="I100" s="145"/>
      <c r="J100" s="145"/>
      <c r="K100" s="129"/>
      <c r="L100" s="27"/>
      <c r="M100" s="63"/>
      <c r="N100" s="63"/>
      <c r="O100" s="63"/>
      <c r="P100" s="63"/>
      <c r="Q100" s="63"/>
      <c r="R100" s="27"/>
      <c r="S100" s="27"/>
      <c r="T100" s="27"/>
      <c r="U100" s="23"/>
      <c r="V100" s="154"/>
      <c r="W100" s="23"/>
      <c r="X100" s="23"/>
      <c r="Y100" s="147"/>
      <c r="Z100" s="148"/>
      <c r="AL100" s="64"/>
      <c r="AM100" s="149"/>
      <c r="AN100" s="23"/>
      <c r="AO100" s="23"/>
      <c r="AP100" s="147"/>
      <c r="AQ100" s="148"/>
    </row>
    <row r="101" spans="1:43" ht="15.75">
      <c r="A101" s="63"/>
      <c r="B101" s="234"/>
      <c r="C101" s="232"/>
      <c r="D101" s="188"/>
      <c r="E101" s="188"/>
      <c r="F101" s="145"/>
      <c r="G101" s="235"/>
      <c r="H101" s="129"/>
      <c r="I101" s="145"/>
      <c r="J101" s="145"/>
      <c r="K101" s="129"/>
      <c r="L101" s="27"/>
      <c r="M101" s="63"/>
      <c r="N101" s="63"/>
      <c r="O101" s="63"/>
      <c r="P101" s="63"/>
      <c r="Q101" s="63"/>
      <c r="R101" s="27"/>
      <c r="S101" s="27"/>
      <c r="T101" s="27"/>
      <c r="U101" s="23"/>
      <c r="V101" s="154"/>
      <c r="W101" s="23"/>
      <c r="X101" s="23"/>
      <c r="Y101" s="147"/>
      <c r="Z101" s="148"/>
      <c r="AL101" s="64"/>
      <c r="AM101" s="149"/>
      <c r="AN101" s="23"/>
      <c r="AO101" s="23"/>
      <c r="AP101" s="147"/>
      <c r="AQ101" s="148"/>
    </row>
    <row r="102" spans="1:43" ht="15.75">
      <c r="A102" s="63"/>
      <c r="B102" s="234"/>
      <c r="C102" s="188"/>
      <c r="D102" s="188"/>
      <c r="E102" s="188"/>
      <c r="F102" s="145"/>
      <c r="G102" s="235"/>
      <c r="H102" s="129"/>
      <c r="I102" s="145"/>
      <c r="J102" s="145"/>
      <c r="K102" s="129"/>
      <c r="L102" s="27"/>
      <c r="M102" s="63"/>
      <c r="N102" s="63"/>
      <c r="O102" s="63"/>
      <c r="P102" s="63"/>
      <c r="Q102" s="63"/>
      <c r="R102" s="27"/>
      <c r="S102" s="27"/>
      <c r="T102" s="27"/>
      <c r="U102" s="23"/>
      <c r="V102" s="154"/>
      <c r="W102" s="23"/>
      <c r="X102" s="23"/>
      <c r="Y102" s="147"/>
      <c r="Z102" s="148"/>
      <c r="AL102" s="64"/>
      <c r="AM102" s="149"/>
      <c r="AN102" s="23"/>
      <c r="AO102" s="23"/>
      <c r="AP102" s="147"/>
      <c r="AQ102" s="148"/>
    </row>
    <row r="103" spans="1:43" ht="15.75">
      <c r="A103" s="63"/>
      <c r="B103" s="234"/>
      <c r="C103" s="188"/>
      <c r="D103" s="188"/>
      <c r="E103" s="188"/>
      <c r="F103" s="145"/>
      <c r="G103" s="235"/>
      <c r="H103" s="129"/>
      <c r="I103" s="145"/>
      <c r="J103" s="145"/>
      <c r="K103" s="129"/>
      <c r="L103" s="27"/>
      <c r="M103" s="63"/>
      <c r="N103" s="63"/>
      <c r="O103" s="63"/>
      <c r="P103" s="63"/>
      <c r="Q103" s="63"/>
      <c r="R103" s="27"/>
      <c r="S103" s="27"/>
      <c r="T103" s="27"/>
      <c r="U103" s="23"/>
      <c r="V103" s="237"/>
      <c r="W103" s="23"/>
      <c r="X103" s="23"/>
      <c r="Y103" s="147"/>
      <c r="Z103" s="148"/>
      <c r="AL103" s="64"/>
      <c r="AM103" s="149"/>
      <c r="AN103" s="23"/>
      <c r="AO103" s="23"/>
      <c r="AP103" s="147"/>
      <c r="AQ103" s="148"/>
    </row>
    <row r="104" spans="1:43" ht="15.75">
      <c r="A104" s="63"/>
      <c r="B104" s="234"/>
      <c r="C104" s="188"/>
      <c r="D104" s="188"/>
      <c r="E104" s="188"/>
      <c r="F104" s="145"/>
      <c r="G104" s="235"/>
      <c r="H104" s="129"/>
      <c r="I104" s="145"/>
      <c r="J104" s="145"/>
      <c r="K104" s="129"/>
      <c r="L104" s="27"/>
      <c r="M104" s="63"/>
      <c r="N104" s="63"/>
      <c r="O104" s="63"/>
      <c r="P104" s="63"/>
      <c r="Q104" s="63"/>
      <c r="R104" s="27"/>
      <c r="S104" s="27"/>
      <c r="T104" s="27"/>
      <c r="U104" s="23"/>
      <c r="V104" s="154"/>
      <c r="W104" s="23"/>
      <c r="X104" s="23"/>
      <c r="Y104" s="147"/>
      <c r="Z104" s="148"/>
      <c r="AL104" s="64"/>
      <c r="AM104" s="149"/>
      <c r="AN104" s="23"/>
      <c r="AO104" s="23"/>
      <c r="AP104" s="147"/>
      <c r="AQ104" s="148"/>
    </row>
    <row r="105" spans="1:43" ht="15.75">
      <c r="A105" s="63"/>
      <c r="B105" s="234"/>
      <c r="C105" s="188"/>
      <c r="D105" s="188"/>
      <c r="E105" s="188"/>
      <c r="F105" s="145"/>
      <c r="G105" s="235"/>
      <c r="H105" s="129"/>
      <c r="I105" s="145"/>
      <c r="J105" s="145"/>
      <c r="K105" s="129"/>
      <c r="L105" s="27"/>
      <c r="M105" s="63"/>
      <c r="N105" s="63"/>
      <c r="O105" s="63"/>
      <c r="P105" s="63"/>
      <c r="Q105" s="63"/>
      <c r="R105" s="27"/>
      <c r="S105" s="27"/>
      <c r="T105" s="27"/>
      <c r="U105" s="23"/>
      <c r="V105" s="154"/>
      <c r="W105" s="23"/>
      <c r="X105" s="23"/>
      <c r="Y105" s="147"/>
      <c r="Z105" s="148"/>
      <c r="AL105" s="64"/>
      <c r="AM105" s="149"/>
      <c r="AN105" s="23"/>
      <c r="AO105" s="23"/>
      <c r="AP105" s="147"/>
      <c r="AQ105" s="148"/>
    </row>
    <row r="106" spans="1:43" ht="15.75">
      <c r="A106" s="63"/>
      <c r="B106" s="236"/>
      <c r="C106" s="188"/>
      <c r="D106" s="188"/>
      <c r="E106" s="188"/>
      <c r="F106" s="145"/>
      <c r="G106" s="235"/>
      <c r="H106" s="129"/>
      <c r="I106" s="145"/>
      <c r="J106" s="145"/>
      <c r="K106" s="129"/>
      <c r="L106" s="27"/>
      <c r="M106" s="63"/>
      <c r="N106" s="63"/>
      <c r="O106" s="63"/>
      <c r="P106" s="63"/>
      <c r="Q106" s="63"/>
      <c r="R106" s="27"/>
      <c r="S106" s="27"/>
      <c r="T106" s="27"/>
      <c r="U106" s="23"/>
      <c r="V106" s="154"/>
      <c r="W106" s="23"/>
      <c r="X106" s="23"/>
      <c r="Y106" s="147"/>
      <c r="Z106" s="148"/>
      <c r="AL106" s="64"/>
      <c r="AM106" s="149"/>
      <c r="AN106" s="23"/>
      <c r="AO106" s="23"/>
      <c r="AP106" s="147"/>
      <c r="AQ106" s="148"/>
    </row>
    <row r="107" spans="1:43" ht="15.75">
      <c r="A107" s="63"/>
      <c r="B107" s="234"/>
      <c r="C107" s="188"/>
      <c r="D107" s="188"/>
      <c r="E107" s="188"/>
      <c r="F107" s="145"/>
      <c r="G107" s="235"/>
      <c r="H107" s="129"/>
      <c r="I107" s="145"/>
      <c r="J107" s="145"/>
      <c r="K107" s="129"/>
      <c r="L107" s="27"/>
      <c r="M107" s="63"/>
      <c r="N107" s="63"/>
      <c r="O107" s="63"/>
      <c r="P107" s="63"/>
      <c r="Q107" s="63"/>
      <c r="R107" s="27"/>
      <c r="S107" s="27"/>
      <c r="T107" s="27"/>
      <c r="U107" s="23"/>
      <c r="V107" s="154"/>
      <c r="W107" s="23"/>
      <c r="X107" s="23"/>
      <c r="Y107" s="147"/>
      <c r="Z107" s="148"/>
      <c r="AL107" s="64"/>
      <c r="AM107" s="149"/>
      <c r="AN107" s="23"/>
      <c r="AO107" s="23"/>
      <c r="AP107" s="147"/>
      <c r="AQ107" s="148"/>
    </row>
    <row r="108" spans="1:43" ht="15.75">
      <c r="A108" s="63"/>
      <c r="B108" s="236"/>
      <c r="C108" s="188"/>
      <c r="D108" s="188"/>
      <c r="E108" s="188"/>
      <c r="F108" s="145"/>
      <c r="G108" s="235"/>
      <c r="H108" s="129"/>
      <c r="I108" s="145"/>
      <c r="J108" s="145"/>
      <c r="K108" s="129"/>
      <c r="L108" s="27"/>
      <c r="M108" s="63"/>
      <c r="N108" s="63"/>
      <c r="O108" s="63"/>
      <c r="P108" s="63"/>
      <c r="Q108" s="63"/>
      <c r="R108" s="27"/>
      <c r="S108" s="27"/>
      <c r="T108" s="27"/>
      <c r="U108" s="23"/>
      <c r="V108" s="154"/>
      <c r="W108" s="23"/>
      <c r="X108" s="23"/>
      <c r="Y108" s="147"/>
      <c r="Z108" s="148"/>
      <c r="AL108" s="64"/>
      <c r="AM108" s="149"/>
      <c r="AN108" s="23"/>
      <c r="AO108" s="23"/>
      <c r="AP108" s="147"/>
      <c r="AQ108" s="148"/>
    </row>
    <row r="109" spans="1:43" ht="15.75">
      <c r="A109" s="63"/>
      <c r="B109" s="236"/>
      <c r="C109" s="188"/>
      <c r="D109" s="188"/>
      <c r="E109" s="188"/>
      <c r="F109" s="145"/>
      <c r="G109" s="235"/>
      <c r="H109" s="129"/>
      <c r="I109" s="145"/>
      <c r="J109" s="145"/>
      <c r="K109" s="129"/>
      <c r="L109" s="27"/>
      <c r="M109" s="63"/>
      <c r="N109" s="63"/>
      <c r="O109" s="63"/>
      <c r="P109" s="63"/>
      <c r="Q109" s="63"/>
      <c r="R109" s="27"/>
      <c r="S109" s="27"/>
      <c r="T109" s="27"/>
      <c r="U109" s="23"/>
      <c r="V109" s="154"/>
      <c r="W109" s="23"/>
      <c r="X109" s="23"/>
      <c r="Y109" s="147"/>
      <c r="Z109" s="148"/>
      <c r="AL109" s="64"/>
      <c r="AM109" s="149"/>
      <c r="AN109" s="23"/>
      <c r="AO109" s="23"/>
      <c r="AP109" s="147"/>
      <c r="AQ109" s="148"/>
    </row>
    <row r="110" spans="1:43" ht="15.75">
      <c r="A110" s="63"/>
      <c r="B110" s="234"/>
      <c r="C110" s="238"/>
      <c r="D110" s="188"/>
      <c r="E110" s="188"/>
      <c r="F110" s="145"/>
      <c r="G110" s="235"/>
      <c r="H110" s="129"/>
      <c r="I110" s="145"/>
      <c r="J110" s="145"/>
      <c r="K110" s="129"/>
      <c r="L110" s="27"/>
      <c r="M110" s="63"/>
      <c r="N110" s="63"/>
      <c r="O110" s="63"/>
      <c r="P110" s="63"/>
      <c r="Q110" s="63"/>
      <c r="R110" s="27"/>
      <c r="S110" s="27"/>
      <c r="T110" s="27"/>
      <c r="U110" s="23"/>
      <c r="V110" s="154"/>
      <c r="W110" s="23"/>
      <c r="X110" s="23"/>
      <c r="Y110" s="147"/>
      <c r="Z110" s="148"/>
      <c r="AL110" s="64"/>
      <c r="AM110" s="149"/>
      <c r="AN110" s="23"/>
      <c r="AO110" s="23"/>
      <c r="AP110" s="147"/>
      <c r="AQ110" s="148"/>
    </row>
    <row r="111" spans="1:43" ht="15.75">
      <c r="A111" s="63"/>
      <c r="B111" s="234"/>
      <c r="C111" s="238"/>
      <c r="D111" s="188"/>
      <c r="E111" s="188"/>
      <c r="F111" s="145"/>
      <c r="G111" s="235"/>
      <c r="H111" s="129"/>
      <c r="I111" s="145"/>
      <c r="J111" s="145"/>
      <c r="K111" s="129"/>
      <c r="L111" s="27"/>
      <c r="M111" s="63"/>
      <c r="N111" s="63"/>
      <c r="O111" s="63"/>
      <c r="P111" s="63"/>
      <c r="Q111" s="63"/>
      <c r="R111" s="27"/>
      <c r="S111" s="27"/>
      <c r="T111" s="27"/>
      <c r="U111" s="23"/>
      <c r="V111" s="154"/>
      <c r="W111" s="23"/>
      <c r="X111" s="23"/>
      <c r="Y111" s="147"/>
      <c r="Z111" s="148"/>
      <c r="AL111" s="64"/>
      <c r="AM111" s="149"/>
      <c r="AN111" s="23"/>
      <c r="AO111" s="23"/>
      <c r="AP111" s="147"/>
      <c r="AQ111" s="148"/>
    </row>
    <row r="112" spans="1:43" ht="15.75">
      <c r="A112" s="63"/>
      <c r="B112" s="234"/>
      <c r="C112" s="238"/>
      <c r="D112" s="188"/>
      <c r="E112" s="188"/>
      <c r="F112" s="145"/>
      <c r="G112" s="235"/>
      <c r="H112" s="129"/>
      <c r="I112" s="145"/>
      <c r="J112" s="145"/>
      <c r="K112" s="129"/>
      <c r="L112" s="27"/>
      <c r="M112" s="63"/>
      <c r="N112" s="63"/>
      <c r="O112" s="63"/>
      <c r="P112" s="63"/>
      <c r="Q112" s="63"/>
      <c r="R112" s="27"/>
      <c r="S112" s="27"/>
      <c r="T112" s="27"/>
      <c r="U112" s="23"/>
      <c r="V112" s="154"/>
      <c r="W112" s="23"/>
      <c r="X112" s="23"/>
      <c r="Y112" s="147"/>
      <c r="Z112" s="148"/>
      <c r="AL112" s="64"/>
      <c r="AM112" s="149"/>
      <c r="AN112" s="23"/>
      <c r="AO112" s="23"/>
      <c r="AP112" s="147"/>
      <c r="AQ112" s="148"/>
    </row>
    <row r="113" spans="1:43" ht="15.75">
      <c r="A113" s="63"/>
      <c r="B113" s="234"/>
      <c r="C113" s="238"/>
      <c r="D113" s="188"/>
      <c r="E113" s="188"/>
      <c r="F113" s="145"/>
      <c r="G113" s="235"/>
      <c r="H113" s="129"/>
      <c r="I113" s="145"/>
      <c r="J113" s="145"/>
      <c r="K113" s="129"/>
      <c r="L113" s="27"/>
      <c r="M113" s="63"/>
      <c r="N113" s="63"/>
      <c r="O113" s="63"/>
      <c r="P113" s="63"/>
      <c r="Q113" s="63"/>
      <c r="R113" s="27"/>
      <c r="S113" s="27"/>
      <c r="T113" s="27"/>
      <c r="U113" s="23"/>
      <c r="V113" s="154"/>
      <c r="W113" s="23"/>
      <c r="X113" s="23"/>
      <c r="Y113" s="147"/>
      <c r="Z113" s="148"/>
      <c r="AL113" s="64"/>
      <c r="AM113" s="149"/>
      <c r="AN113" s="23"/>
      <c r="AO113" s="23"/>
      <c r="AP113" s="147"/>
      <c r="AQ113" s="148"/>
    </row>
    <row r="114" spans="1:43" ht="15.75">
      <c r="A114" s="63"/>
      <c r="B114" s="234"/>
      <c r="C114" s="238"/>
      <c r="D114" s="188"/>
      <c r="E114" s="188"/>
      <c r="F114" s="145"/>
      <c r="G114" s="235"/>
      <c r="H114" s="129"/>
      <c r="I114" s="145"/>
      <c r="J114" s="145"/>
      <c r="K114" s="129"/>
      <c r="L114" s="27"/>
      <c r="M114" s="63"/>
      <c r="N114" s="63"/>
      <c r="O114" s="63"/>
      <c r="P114" s="63"/>
      <c r="Q114" s="63"/>
      <c r="R114" s="27"/>
      <c r="S114" s="27"/>
      <c r="T114" s="27"/>
      <c r="U114" s="23"/>
      <c r="V114" s="154"/>
      <c r="W114" s="23"/>
      <c r="X114" s="23"/>
      <c r="Y114" s="147"/>
      <c r="Z114" s="148"/>
      <c r="AL114" s="64"/>
      <c r="AM114" s="149"/>
      <c r="AN114" s="23"/>
      <c r="AO114" s="23"/>
      <c r="AP114" s="147"/>
      <c r="AQ114" s="148"/>
    </row>
    <row r="115" spans="1:43" ht="15.75">
      <c r="A115" s="63"/>
      <c r="B115" s="234"/>
      <c r="C115" s="238"/>
      <c r="D115" s="188"/>
      <c r="E115" s="188"/>
      <c r="F115" s="145"/>
      <c r="G115" s="235"/>
      <c r="H115" s="129"/>
      <c r="I115" s="145"/>
      <c r="J115" s="145"/>
      <c r="K115" s="129"/>
      <c r="L115" s="27"/>
      <c r="M115" s="63"/>
      <c r="N115" s="63"/>
      <c r="O115" s="63"/>
      <c r="P115" s="63"/>
      <c r="Q115" s="63"/>
      <c r="R115" s="27"/>
      <c r="S115" s="27"/>
      <c r="T115" s="27"/>
      <c r="U115" s="23"/>
      <c r="V115" s="154"/>
      <c r="W115" s="23"/>
      <c r="X115" s="23"/>
      <c r="Y115" s="147"/>
      <c r="Z115" s="148"/>
      <c r="AL115" s="64"/>
      <c r="AM115" s="149"/>
      <c r="AN115" s="23"/>
      <c r="AO115" s="23"/>
      <c r="AP115" s="147"/>
      <c r="AQ115" s="148"/>
    </row>
    <row r="116" spans="1:43" ht="15.75">
      <c r="A116" s="63"/>
      <c r="B116" s="206"/>
      <c r="C116" s="238"/>
      <c r="D116" s="188"/>
      <c r="E116" s="188"/>
      <c r="F116" s="145"/>
      <c r="G116" s="235"/>
      <c r="H116" s="129"/>
      <c r="I116" s="145"/>
      <c r="J116" s="145"/>
      <c r="K116" s="129"/>
      <c r="L116" s="27"/>
      <c r="M116" s="63"/>
      <c r="N116" s="63"/>
      <c r="O116" s="63"/>
      <c r="P116" s="63"/>
      <c r="Q116" s="63"/>
      <c r="R116" s="27"/>
      <c r="S116" s="27"/>
      <c r="T116" s="27"/>
      <c r="U116" s="23"/>
      <c r="V116" s="154"/>
      <c r="W116" s="23"/>
      <c r="X116" s="23"/>
      <c r="Y116" s="147"/>
      <c r="Z116" s="148"/>
      <c r="AL116" s="64"/>
      <c r="AM116" s="149"/>
      <c r="AN116" s="23"/>
      <c r="AO116" s="23"/>
      <c r="AP116" s="147"/>
      <c r="AQ116" s="148"/>
    </row>
    <row r="117" spans="1:43" ht="15.75">
      <c r="A117" s="63"/>
      <c r="B117" s="234"/>
      <c r="C117" s="238"/>
      <c r="D117" s="188"/>
      <c r="E117" s="188"/>
      <c r="F117" s="145"/>
      <c r="G117" s="235"/>
      <c r="H117" s="129"/>
      <c r="I117" s="145"/>
      <c r="J117" s="145"/>
      <c r="K117" s="129"/>
      <c r="L117" s="27"/>
      <c r="M117" s="63"/>
      <c r="N117" s="63"/>
      <c r="O117" s="63"/>
      <c r="P117" s="63"/>
      <c r="Q117" s="63"/>
      <c r="R117" s="27"/>
      <c r="S117" s="27"/>
      <c r="T117" s="27"/>
      <c r="U117" s="23"/>
      <c r="V117" s="154"/>
      <c r="W117" s="23"/>
      <c r="X117" s="23"/>
      <c r="Y117" s="147"/>
      <c r="Z117" s="148"/>
      <c r="AL117" s="64"/>
      <c r="AM117" s="149"/>
      <c r="AN117" s="23"/>
      <c r="AO117" s="23"/>
      <c r="AP117" s="147"/>
      <c r="AQ117" s="148"/>
    </row>
    <row r="118" spans="1:43" ht="15.75">
      <c r="A118" s="63"/>
      <c r="B118" s="234"/>
      <c r="C118" s="238"/>
      <c r="D118" s="188"/>
      <c r="E118" s="188"/>
      <c r="F118" s="145"/>
      <c r="G118" s="235"/>
      <c r="H118" s="129"/>
      <c r="I118" s="145"/>
      <c r="J118" s="145"/>
      <c r="K118" s="129"/>
      <c r="L118" s="27"/>
      <c r="M118" s="63"/>
      <c r="N118" s="63"/>
      <c r="O118" s="63"/>
      <c r="P118" s="63"/>
      <c r="Q118" s="63"/>
      <c r="R118" s="27"/>
      <c r="S118" s="27"/>
      <c r="T118" s="27"/>
      <c r="U118" s="23"/>
      <c r="V118" s="154"/>
      <c r="W118" s="23"/>
      <c r="X118" s="23"/>
      <c r="Y118" s="147"/>
      <c r="Z118" s="148"/>
      <c r="AL118" s="64"/>
      <c r="AM118" s="149"/>
      <c r="AN118" s="23"/>
      <c r="AO118" s="23"/>
      <c r="AP118" s="147"/>
      <c r="AQ118" s="148"/>
    </row>
    <row r="119" spans="1:43" ht="15.75">
      <c r="A119" s="63"/>
      <c r="B119" s="234"/>
      <c r="C119" s="238"/>
      <c r="D119" s="188"/>
      <c r="E119" s="188"/>
      <c r="F119" s="145"/>
      <c r="G119" s="235"/>
      <c r="H119" s="129"/>
      <c r="I119" s="145"/>
      <c r="J119" s="145"/>
      <c r="K119" s="129"/>
      <c r="L119" s="27"/>
      <c r="M119" s="63"/>
      <c r="N119" s="63"/>
      <c r="O119" s="63"/>
      <c r="P119" s="63"/>
      <c r="Q119" s="63"/>
      <c r="R119" s="27"/>
      <c r="S119" s="27"/>
      <c r="T119" s="27"/>
      <c r="U119" s="23"/>
      <c r="V119" s="154"/>
      <c r="W119" s="23"/>
      <c r="X119" s="23"/>
      <c r="Y119" s="147"/>
      <c r="Z119" s="148"/>
      <c r="AL119" s="64"/>
      <c r="AM119" s="149"/>
      <c r="AN119" s="23"/>
      <c r="AO119" s="23"/>
      <c r="AP119" s="147"/>
      <c r="AQ119" s="148"/>
    </row>
    <row r="120" spans="1:43" ht="15.75">
      <c r="A120" s="63"/>
      <c r="B120" s="234"/>
      <c r="C120" s="238"/>
      <c r="D120" s="188"/>
      <c r="E120" s="188"/>
      <c r="F120" s="145"/>
      <c r="G120" s="235"/>
      <c r="H120" s="129"/>
      <c r="I120" s="145"/>
      <c r="J120" s="145"/>
      <c r="K120" s="129"/>
      <c r="L120" s="27"/>
      <c r="M120" s="63"/>
      <c r="N120" s="63"/>
      <c r="O120" s="63"/>
      <c r="P120" s="63"/>
      <c r="Q120" s="63"/>
      <c r="R120" s="27"/>
      <c r="S120" s="27"/>
      <c r="T120" s="27"/>
      <c r="U120" s="23"/>
      <c r="V120" s="154"/>
      <c r="W120" s="23"/>
      <c r="X120" s="23"/>
      <c r="Y120" s="147"/>
      <c r="Z120" s="148"/>
      <c r="AL120" s="64"/>
      <c r="AM120" s="149"/>
      <c r="AN120" s="23"/>
      <c r="AO120" s="23"/>
      <c r="AP120" s="147"/>
      <c r="AQ120" s="148"/>
    </row>
    <row r="121" spans="1:43" ht="15.75">
      <c r="A121" s="63"/>
      <c r="B121" s="234"/>
      <c r="C121" s="238"/>
      <c r="D121" s="188"/>
      <c r="E121" s="188"/>
      <c r="F121" s="145"/>
      <c r="G121" s="235"/>
      <c r="H121" s="129"/>
      <c r="I121" s="145"/>
      <c r="J121" s="145"/>
      <c r="K121" s="129"/>
      <c r="L121" s="27"/>
      <c r="M121" s="63"/>
      <c r="N121" s="63"/>
      <c r="O121" s="63"/>
      <c r="P121" s="63"/>
      <c r="Q121" s="63"/>
      <c r="R121" s="27"/>
      <c r="S121" s="27"/>
      <c r="T121" s="27"/>
      <c r="U121" s="23"/>
      <c r="V121" s="154"/>
      <c r="W121" s="23"/>
      <c r="X121" s="23"/>
      <c r="Y121" s="147"/>
      <c r="Z121" s="148"/>
      <c r="AL121" s="64"/>
      <c r="AM121" s="149"/>
      <c r="AN121" s="23"/>
      <c r="AO121" s="23"/>
      <c r="AP121" s="147"/>
      <c r="AQ121" s="148"/>
    </row>
    <row r="122" spans="1:43" ht="15.75">
      <c r="A122" s="63"/>
      <c r="B122" s="234"/>
      <c r="C122" s="238"/>
      <c r="D122" s="188"/>
      <c r="E122" s="188"/>
      <c r="F122" s="145"/>
      <c r="G122" s="235"/>
      <c r="H122" s="129"/>
      <c r="I122" s="145"/>
      <c r="J122" s="145"/>
      <c r="K122" s="129"/>
      <c r="L122" s="27"/>
      <c r="M122" s="63"/>
      <c r="N122" s="63"/>
      <c r="O122" s="63"/>
      <c r="P122" s="63"/>
      <c r="Q122" s="63"/>
      <c r="R122" s="27"/>
      <c r="S122" s="27"/>
      <c r="T122" s="27"/>
      <c r="U122" s="23"/>
      <c r="V122" s="154"/>
      <c r="W122" s="23"/>
      <c r="X122" s="23"/>
      <c r="Y122" s="147"/>
      <c r="Z122" s="148"/>
      <c r="AL122" s="64"/>
      <c r="AM122" s="149"/>
      <c r="AN122" s="23"/>
      <c r="AO122" s="23"/>
      <c r="AP122" s="147"/>
      <c r="AQ122" s="148"/>
    </row>
    <row r="123" spans="1:43" ht="15.75">
      <c r="A123" s="63"/>
      <c r="B123" s="234"/>
      <c r="C123" s="238"/>
      <c r="D123" s="188"/>
      <c r="E123" s="188"/>
      <c r="F123" s="145"/>
      <c r="G123" s="235"/>
      <c r="H123" s="129"/>
      <c r="I123" s="145"/>
      <c r="J123" s="145"/>
      <c r="K123" s="129"/>
      <c r="L123" s="27"/>
      <c r="M123" s="63"/>
      <c r="N123" s="63"/>
      <c r="O123" s="63"/>
      <c r="P123" s="63"/>
      <c r="Q123" s="63"/>
      <c r="R123" s="27"/>
      <c r="S123" s="27"/>
      <c r="T123" s="27"/>
      <c r="U123" s="23"/>
      <c r="V123" s="154"/>
      <c r="W123" s="23"/>
      <c r="X123" s="23"/>
      <c r="Y123" s="147"/>
      <c r="Z123" s="148"/>
      <c r="AL123" s="64"/>
      <c r="AM123" s="149"/>
      <c r="AN123" s="23"/>
      <c r="AO123" s="23"/>
      <c r="AP123" s="147"/>
      <c r="AQ123" s="148"/>
    </row>
    <row r="124" spans="1:43" ht="15.75">
      <c r="A124" s="63"/>
      <c r="B124" s="137"/>
      <c r="C124" s="238"/>
      <c r="D124" s="188"/>
      <c r="E124" s="188"/>
      <c r="F124" s="145"/>
      <c r="G124" s="200"/>
      <c r="H124" s="129"/>
      <c r="I124" s="145"/>
      <c r="J124" s="145"/>
      <c r="K124" s="129"/>
      <c r="L124" s="27"/>
      <c r="M124" s="63"/>
      <c r="N124" s="63"/>
      <c r="O124" s="63"/>
      <c r="P124" s="63"/>
      <c r="Q124" s="63"/>
      <c r="R124" s="27"/>
      <c r="S124" s="27"/>
      <c r="T124" s="27"/>
      <c r="U124" s="23"/>
      <c r="V124" s="146"/>
      <c r="W124" s="23"/>
      <c r="X124" s="23"/>
      <c r="Y124" s="147"/>
      <c r="Z124" s="148"/>
      <c r="AL124" s="64"/>
      <c r="AM124" s="149"/>
      <c r="AN124" s="23"/>
      <c r="AO124" s="23"/>
      <c r="AP124" s="147"/>
      <c r="AQ124" s="148"/>
    </row>
    <row r="125" spans="1:43" ht="15.75">
      <c r="A125" s="63"/>
      <c r="B125" s="234"/>
      <c r="C125" s="238"/>
      <c r="D125" s="188"/>
      <c r="E125" s="188"/>
      <c r="F125" s="145"/>
      <c r="G125" s="235"/>
      <c r="H125" s="129"/>
      <c r="I125" s="145"/>
      <c r="J125" s="145"/>
      <c r="K125" s="129"/>
      <c r="L125" s="27"/>
      <c r="M125" s="63"/>
      <c r="N125" s="63"/>
      <c r="O125" s="63"/>
      <c r="P125" s="63"/>
      <c r="Q125" s="63"/>
      <c r="R125" s="27"/>
      <c r="S125" s="27"/>
      <c r="T125" s="27"/>
      <c r="U125" s="23"/>
      <c r="V125" s="154"/>
      <c r="W125" s="23"/>
      <c r="X125" s="23"/>
      <c r="Y125" s="147"/>
      <c r="Z125" s="148"/>
      <c r="AL125" s="64"/>
      <c r="AM125" s="149"/>
      <c r="AN125" s="23"/>
      <c r="AO125" s="23"/>
      <c r="AP125" s="147"/>
      <c r="AQ125" s="148"/>
    </row>
    <row r="126" spans="1:43" ht="15.75">
      <c r="A126" s="63"/>
      <c r="B126" s="234"/>
      <c r="C126" s="238"/>
      <c r="D126" s="188"/>
      <c r="E126" s="188"/>
      <c r="F126" s="145"/>
      <c r="G126" s="235"/>
      <c r="H126" s="129"/>
      <c r="I126" s="145"/>
      <c r="J126" s="145"/>
      <c r="K126" s="129"/>
      <c r="L126" s="27"/>
      <c r="M126" s="63"/>
      <c r="N126" s="63"/>
      <c r="O126" s="63"/>
      <c r="P126" s="63"/>
      <c r="Q126" s="63"/>
      <c r="R126" s="27"/>
      <c r="S126" s="27"/>
      <c r="T126" s="27"/>
      <c r="U126" s="23"/>
      <c r="V126" s="154"/>
      <c r="W126" s="23"/>
      <c r="X126" s="23"/>
      <c r="Y126" s="147"/>
      <c r="Z126" s="148"/>
      <c r="AL126" s="64"/>
      <c r="AM126" s="149"/>
      <c r="AN126" s="23"/>
      <c r="AO126" s="23"/>
      <c r="AP126" s="147"/>
      <c r="AQ126" s="148"/>
    </row>
    <row r="127" spans="1:43" ht="15.75">
      <c r="A127" s="63"/>
      <c r="B127" s="234"/>
      <c r="C127" s="238"/>
      <c r="D127" s="188"/>
      <c r="E127" s="188"/>
      <c r="F127" s="145"/>
      <c r="G127" s="235"/>
      <c r="H127" s="129"/>
      <c r="I127" s="145"/>
      <c r="J127" s="145"/>
      <c r="K127" s="129"/>
      <c r="L127" s="27"/>
      <c r="M127" s="63"/>
      <c r="N127" s="63"/>
      <c r="O127" s="63"/>
      <c r="P127" s="63"/>
      <c r="Q127" s="63"/>
      <c r="R127" s="27"/>
      <c r="S127" s="27"/>
      <c r="T127" s="27"/>
      <c r="U127" s="23"/>
      <c r="V127" s="154"/>
      <c r="W127" s="23"/>
      <c r="X127" s="23"/>
      <c r="Y127" s="147"/>
      <c r="Z127" s="148"/>
      <c r="AL127" s="64"/>
      <c r="AM127" s="149"/>
      <c r="AN127" s="23"/>
      <c r="AO127" s="23"/>
      <c r="AP127" s="147"/>
      <c r="AQ127" s="148"/>
    </row>
    <row r="128" spans="1:43" ht="15.75">
      <c r="A128" s="63"/>
      <c r="B128" s="234"/>
      <c r="C128" s="238"/>
      <c r="D128" s="188"/>
      <c r="E128" s="188"/>
      <c r="F128" s="145"/>
      <c r="G128" s="235"/>
      <c r="H128" s="129"/>
      <c r="I128" s="145"/>
      <c r="J128" s="145"/>
      <c r="K128" s="129"/>
      <c r="L128" s="27"/>
      <c r="M128" s="63"/>
      <c r="N128" s="63"/>
      <c r="O128" s="63"/>
      <c r="P128" s="63"/>
      <c r="Q128" s="63"/>
      <c r="R128" s="27"/>
      <c r="S128" s="27"/>
      <c r="T128" s="27"/>
      <c r="U128" s="23"/>
      <c r="V128" s="154"/>
      <c r="W128" s="23"/>
      <c r="X128" s="23"/>
      <c r="Y128" s="147"/>
      <c r="Z128" s="148"/>
      <c r="AL128" s="64"/>
      <c r="AM128" s="149"/>
      <c r="AN128" s="23"/>
      <c r="AO128" s="23"/>
      <c r="AP128" s="147"/>
      <c r="AQ128" s="148"/>
    </row>
    <row r="129" spans="1:43" ht="15.75">
      <c r="A129" s="63"/>
      <c r="B129" s="234"/>
      <c r="C129" s="238"/>
      <c r="D129" s="188"/>
      <c r="E129" s="188"/>
      <c r="F129" s="145"/>
      <c r="G129" s="235"/>
      <c r="H129" s="129"/>
      <c r="I129" s="145"/>
      <c r="J129" s="145"/>
      <c r="K129" s="129"/>
      <c r="L129" s="27"/>
      <c r="M129" s="63"/>
      <c r="N129" s="63"/>
      <c r="O129" s="63"/>
      <c r="P129" s="63"/>
      <c r="Q129" s="63"/>
      <c r="R129" s="27"/>
      <c r="S129" s="27"/>
      <c r="T129" s="27"/>
      <c r="U129" s="23"/>
      <c r="V129" s="154"/>
      <c r="W129" s="23"/>
      <c r="X129" s="23"/>
      <c r="Y129" s="147"/>
      <c r="Z129" s="148"/>
      <c r="AL129" s="64"/>
      <c r="AM129" s="149"/>
      <c r="AN129" s="23"/>
      <c r="AO129" s="23"/>
      <c r="AP129" s="147"/>
      <c r="AQ129" s="148"/>
    </row>
    <row r="130" spans="1:43" ht="15.75">
      <c r="A130" s="63"/>
      <c r="B130" s="234"/>
      <c r="C130" s="238"/>
      <c r="D130" s="188"/>
      <c r="E130" s="188"/>
      <c r="F130" s="145"/>
      <c r="G130" s="235"/>
      <c r="H130" s="129"/>
      <c r="I130" s="145"/>
      <c r="J130" s="145"/>
      <c r="K130" s="129"/>
      <c r="L130" s="27"/>
      <c r="M130" s="63"/>
      <c r="N130" s="63"/>
      <c r="O130" s="63"/>
      <c r="P130" s="63"/>
      <c r="Q130" s="63"/>
      <c r="R130" s="27"/>
      <c r="S130" s="27"/>
      <c r="T130" s="27"/>
      <c r="U130" s="23"/>
      <c r="V130" s="237"/>
      <c r="W130" s="23"/>
      <c r="X130" s="23"/>
      <c r="Y130" s="147"/>
      <c r="Z130" s="148"/>
      <c r="AL130" s="64"/>
      <c r="AM130" s="149"/>
      <c r="AN130" s="23"/>
      <c r="AO130" s="23"/>
      <c r="AP130" s="147"/>
      <c r="AQ130" s="148"/>
    </row>
    <row r="131" spans="1:43" ht="15.75">
      <c r="A131" s="63"/>
      <c r="B131" s="236"/>
      <c r="C131" s="238"/>
      <c r="D131" s="188"/>
      <c r="E131" s="188"/>
      <c r="F131" s="145"/>
      <c r="G131" s="235"/>
      <c r="H131" s="129"/>
      <c r="I131" s="145"/>
      <c r="J131" s="145"/>
      <c r="K131" s="129"/>
      <c r="L131" s="27"/>
      <c r="M131" s="63"/>
      <c r="N131" s="63"/>
      <c r="O131" s="63"/>
      <c r="P131" s="63"/>
      <c r="Q131" s="63"/>
      <c r="R131" s="27"/>
      <c r="S131" s="27"/>
      <c r="T131" s="27"/>
      <c r="U131" s="23"/>
      <c r="V131" s="154"/>
      <c r="W131" s="23"/>
      <c r="X131" s="23"/>
      <c r="Y131" s="147"/>
      <c r="Z131" s="148"/>
      <c r="AL131" s="64"/>
      <c r="AM131" s="149"/>
      <c r="AN131" s="23"/>
      <c r="AO131" s="23"/>
      <c r="AP131" s="147"/>
      <c r="AQ131" s="148"/>
    </row>
    <row r="132" spans="1:43" ht="15.75">
      <c r="A132" s="63"/>
      <c r="B132" s="234"/>
      <c r="C132" s="238"/>
      <c r="D132" s="188"/>
      <c r="E132" s="188"/>
      <c r="F132" s="145"/>
      <c r="G132" s="235"/>
      <c r="H132" s="129"/>
      <c r="I132" s="145"/>
      <c r="J132" s="145"/>
      <c r="K132" s="129"/>
      <c r="L132" s="27"/>
      <c r="M132" s="63"/>
      <c r="N132" s="63"/>
      <c r="O132" s="63"/>
      <c r="P132" s="63"/>
      <c r="Q132" s="63"/>
      <c r="R132" s="27"/>
      <c r="S132" s="27"/>
      <c r="T132" s="27"/>
      <c r="U132" s="23"/>
      <c r="V132" s="154"/>
      <c r="W132" s="23"/>
      <c r="X132" s="23"/>
      <c r="Y132" s="147"/>
      <c r="Z132" s="148"/>
      <c r="AL132" s="64"/>
      <c r="AM132" s="149"/>
      <c r="AN132" s="23"/>
      <c r="AO132" s="23"/>
      <c r="AP132" s="147"/>
      <c r="AQ132" s="148"/>
    </row>
    <row r="133" spans="1:43" ht="15.75">
      <c r="A133" s="63"/>
      <c r="B133" s="234"/>
      <c r="C133" s="238"/>
      <c r="D133" s="188"/>
      <c r="E133" s="188"/>
      <c r="F133" s="145"/>
      <c r="G133" s="235"/>
      <c r="H133" s="129"/>
      <c r="I133" s="145"/>
      <c r="J133" s="145"/>
      <c r="K133" s="129"/>
      <c r="L133" s="27"/>
      <c r="M133" s="63"/>
      <c r="N133" s="63"/>
      <c r="O133" s="63"/>
      <c r="P133" s="63"/>
      <c r="Q133" s="63"/>
      <c r="R133" s="27"/>
      <c r="S133" s="27"/>
      <c r="T133" s="27"/>
      <c r="U133" s="23"/>
      <c r="V133" s="154"/>
      <c r="W133" s="23"/>
      <c r="X133" s="23"/>
      <c r="Y133" s="147"/>
      <c r="Z133" s="148"/>
      <c r="AL133" s="64"/>
      <c r="AM133" s="149"/>
      <c r="AN133" s="23"/>
      <c r="AO133" s="23"/>
      <c r="AP133" s="147"/>
      <c r="AQ133" s="148"/>
    </row>
    <row r="134" spans="1:43" ht="15.75">
      <c r="A134" s="63"/>
      <c r="B134" s="239"/>
      <c r="C134" s="238"/>
      <c r="D134" s="188"/>
      <c r="E134" s="188"/>
      <c r="F134" s="145"/>
      <c r="G134" s="235"/>
      <c r="H134" s="129"/>
      <c r="I134" s="145"/>
      <c r="J134" s="145"/>
      <c r="K134" s="129"/>
      <c r="L134" s="27"/>
      <c r="M134" s="63"/>
      <c r="N134" s="63"/>
      <c r="O134" s="63"/>
      <c r="P134" s="63"/>
      <c r="Q134" s="63"/>
      <c r="R134" s="27"/>
      <c r="S134" s="27"/>
      <c r="T134" s="27"/>
      <c r="U134" s="23"/>
      <c r="V134" s="154"/>
      <c r="W134" s="23"/>
      <c r="X134" s="23"/>
      <c r="Y134" s="147"/>
      <c r="Z134" s="148"/>
      <c r="AL134" s="64"/>
      <c r="AM134" s="149"/>
      <c r="AN134" s="23"/>
      <c r="AO134" s="23"/>
      <c r="AP134" s="147"/>
      <c r="AQ134" s="148"/>
    </row>
    <row r="135" spans="1:43" ht="15.75">
      <c r="A135" s="63"/>
      <c r="B135" s="234"/>
      <c r="C135" s="238"/>
      <c r="D135" s="188"/>
      <c r="E135" s="188"/>
      <c r="F135" s="145"/>
      <c r="G135" s="235"/>
      <c r="H135" s="129"/>
      <c r="I135" s="145"/>
      <c r="J135" s="145"/>
      <c r="K135" s="129"/>
      <c r="L135" s="27"/>
      <c r="M135" s="63"/>
      <c r="N135" s="63"/>
      <c r="O135" s="63"/>
      <c r="P135" s="63"/>
      <c r="Q135" s="63"/>
      <c r="R135" s="27"/>
      <c r="S135" s="27"/>
      <c r="T135" s="27"/>
      <c r="U135" s="23"/>
      <c r="V135" s="154"/>
      <c r="W135" s="23"/>
      <c r="X135" s="23"/>
      <c r="Y135" s="147"/>
      <c r="Z135" s="148"/>
      <c r="AL135" s="64"/>
      <c r="AM135" s="149"/>
      <c r="AN135" s="23"/>
      <c r="AO135" s="23"/>
      <c r="AP135" s="147"/>
      <c r="AQ135" s="148"/>
    </row>
    <row r="136" spans="1:43" ht="15.75">
      <c r="A136" s="63"/>
      <c r="B136" s="234"/>
      <c r="C136" s="238"/>
      <c r="D136" s="188"/>
      <c r="E136" s="188"/>
      <c r="F136" s="145"/>
      <c r="G136" s="235"/>
      <c r="H136" s="129"/>
      <c r="I136" s="145"/>
      <c r="J136" s="145"/>
      <c r="K136" s="129"/>
      <c r="L136" s="27"/>
      <c r="M136" s="63"/>
      <c r="N136" s="63"/>
      <c r="O136" s="63"/>
      <c r="P136" s="63"/>
      <c r="Q136" s="63"/>
      <c r="R136" s="27"/>
      <c r="S136" s="27"/>
      <c r="T136" s="27"/>
      <c r="U136" s="23"/>
      <c r="V136" s="154"/>
      <c r="W136" s="23"/>
      <c r="X136" s="23"/>
      <c r="Y136" s="147"/>
      <c r="Z136" s="148"/>
      <c r="AL136" s="64"/>
      <c r="AM136" s="149"/>
      <c r="AN136" s="23"/>
      <c r="AO136" s="23"/>
      <c r="AP136" s="147"/>
      <c r="AQ136" s="148"/>
    </row>
    <row r="137" spans="1:43" ht="15.75">
      <c r="A137" s="63"/>
      <c r="B137" s="234"/>
      <c r="C137" s="238"/>
      <c r="D137" s="188"/>
      <c r="E137" s="188"/>
      <c r="F137" s="145"/>
      <c r="G137" s="235"/>
      <c r="H137" s="129"/>
      <c r="I137" s="145"/>
      <c r="J137" s="145"/>
      <c r="K137" s="129"/>
      <c r="L137" s="27"/>
      <c r="M137" s="63"/>
      <c r="N137" s="63"/>
      <c r="O137" s="63"/>
      <c r="P137" s="63"/>
      <c r="Q137" s="63"/>
      <c r="R137" s="27"/>
      <c r="S137" s="27"/>
      <c r="T137" s="27"/>
      <c r="U137" s="23"/>
      <c r="V137" s="154"/>
      <c r="W137" s="23"/>
      <c r="X137" s="23"/>
      <c r="Y137" s="147"/>
      <c r="Z137" s="148"/>
      <c r="AL137" s="64"/>
      <c r="AM137" s="149"/>
      <c r="AN137" s="23"/>
      <c r="AO137" s="23"/>
      <c r="AP137" s="147"/>
      <c r="AQ137" s="148"/>
    </row>
    <row r="138" spans="1:43" ht="15.75">
      <c r="A138" s="63"/>
      <c r="B138" s="240"/>
      <c r="C138" s="238"/>
      <c r="D138" s="188"/>
      <c r="E138" s="188"/>
      <c r="F138" s="145"/>
      <c r="G138" s="235"/>
      <c r="H138" s="129"/>
      <c r="I138" s="145"/>
      <c r="J138" s="145"/>
      <c r="K138" s="129"/>
      <c r="L138" s="27"/>
      <c r="M138" s="63"/>
      <c r="N138" s="63"/>
      <c r="O138" s="63"/>
      <c r="P138" s="63"/>
      <c r="Q138" s="63"/>
      <c r="R138" s="27"/>
      <c r="S138" s="27"/>
      <c r="T138" s="27"/>
      <c r="U138" s="23"/>
      <c r="V138" s="154"/>
      <c r="W138" s="23"/>
      <c r="X138" s="23"/>
      <c r="Y138" s="147"/>
      <c r="Z138" s="148"/>
      <c r="AL138" s="64"/>
      <c r="AM138" s="241"/>
      <c r="AN138" s="23"/>
      <c r="AO138" s="23"/>
      <c r="AP138" s="147"/>
      <c r="AQ138" s="148"/>
    </row>
    <row r="139" spans="1:43" ht="15.75">
      <c r="A139" s="63"/>
      <c r="B139" s="240"/>
      <c r="C139" s="238"/>
      <c r="D139" s="188"/>
      <c r="E139" s="188"/>
      <c r="F139" s="145"/>
      <c r="G139" s="235"/>
      <c r="H139" s="129"/>
      <c r="I139" s="145"/>
      <c r="J139" s="145"/>
      <c r="K139" s="129"/>
      <c r="L139" s="27"/>
      <c r="M139" s="63"/>
      <c r="N139" s="63"/>
      <c r="O139" s="63"/>
      <c r="P139" s="63"/>
      <c r="Q139" s="63"/>
      <c r="R139" s="27"/>
      <c r="S139" s="27"/>
      <c r="T139" s="27"/>
      <c r="U139" s="23"/>
      <c r="V139" s="154"/>
      <c r="W139" s="23"/>
      <c r="X139" s="23"/>
      <c r="Y139" s="147"/>
      <c r="Z139" s="148"/>
      <c r="AL139" s="64"/>
      <c r="AM139" s="241"/>
      <c r="AN139" s="23"/>
      <c r="AO139" s="23"/>
      <c r="AP139" s="147"/>
      <c r="AQ139" s="148"/>
    </row>
    <row r="140" spans="1:43" ht="15.75" hidden="1">
      <c r="A140" s="63"/>
      <c r="B140" s="206"/>
      <c r="C140" s="238"/>
      <c r="D140" s="188"/>
      <c r="E140" s="188"/>
      <c r="F140" s="145"/>
      <c r="G140" s="200"/>
      <c r="H140" s="129"/>
      <c r="I140" s="145"/>
      <c r="J140" s="145"/>
      <c r="K140" s="129"/>
      <c r="L140" s="27"/>
      <c r="M140" s="63"/>
      <c r="N140" s="63"/>
      <c r="O140" s="63"/>
      <c r="P140" s="63"/>
      <c r="Q140" s="63"/>
      <c r="R140" s="27"/>
      <c r="S140" s="27"/>
      <c r="T140" s="27"/>
      <c r="U140" s="23"/>
      <c r="V140" s="154"/>
      <c r="W140" s="23"/>
      <c r="X140" s="23"/>
      <c r="Y140" s="147"/>
      <c r="Z140" s="148"/>
      <c r="AL140" s="64"/>
      <c r="AM140" s="241"/>
      <c r="AN140" s="23"/>
      <c r="AO140" s="23"/>
      <c r="AP140" s="147"/>
      <c r="AQ140" s="148"/>
    </row>
    <row r="141" spans="1:43" ht="15.75" hidden="1">
      <c r="A141" s="63"/>
      <c r="B141" s="206"/>
      <c r="C141" s="238"/>
      <c r="D141" s="188"/>
      <c r="E141" s="188"/>
      <c r="F141" s="145"/>
      <c r="G141" s="200"/>
      <c r="H141" s="129"/>
      <c r="I141" s="145"/>
      <c r="J141" s="145"/>
      <c r="K141" s="129"/>
      <c r="L141" s="27"/>
      <c r="M141" s="63"/>
      <c r="N141" s="63"/>
      <c r="O141" s="63"/>
      <c r="P141" s="63"/>
      <c r="Q141" s="63"/>
      <c r="R141" s="27"/>
      <c r="S141" s="27"/>
      <c r="T141" s="27"/>
      <c r="U141" s="23"/>
      <c r="V141" s="146"/>
      <c r="W141" s="23"/>
      <c r="X141" s="23"/>
      <c r="Y141" s="147"/>
      <c r="Z141" s="148"/>
      <c r="AL141" s="64"/>
      <c r="AM141" s="241"/>
      <c r="AN141" s="23"/>
      <c r="AO141" s="23"/>
      <c r="AP141" s="147"/>
      <c r="AQ141" s="148"/>
    </row>
    <row r="142" spans="1:43" ht="15.75" hidden="1">
      <c r="A142" s="63"/>
      <c r="B142" s="206"/>
      <c r="C142" s="238"/>
      <c r="D142" s="188"/>
      <c r="E142" s="188"/>
      <c r="F142" s="145"/>
      <c r="G142" s="200"/>
      <c r="H142" s="129"/>
      <c r="I142" s="145"/>
      <c r="J142" s="145"/>
      <c r="K142" s="129"/>
      <c r="L142" s="27"/>
      <c r="M142" s="63"/>
      <c r="N142" s="63"/>
      <c r="O142" s="63"/>
      <c r="P142" s="63"/>
      <c r="Q142" s="63"/>
      <c r="R142" s="27"/>
      <c r="S142" s="27"/>
      <c r="T142" s="27"/>
      <c r="U142" s="23"/>
      <c r="V142" s="146"/>
      <c r="W142" s="23"/>
      <c r="X142" s="23"/>
      <c r="Y142" s="147"/>
      <c r="Z142" s="148"/>
      <c r="AL142" s="64"/>
      <c r="AM142" s="149"/>
      <c r="AN142" s="23"/>
      <c r="AO142" s="23"/>
      <c r="AP142" s="147"/>
      <c r="AQ142" s="148"/>
    </row>
    <row r="143" spans="1:43" ht="15.75" hidden="1">
      <c r="A143" s="63"/>
      <c r="B143" s="206"/>
      <c r="C143" s="238"/>
      <c r="D143" s="188"/>
      <c r="E143" s="188"/>
      <c r="F143" s="145"/>
      <c r="G143" s="200"/>
      <c r="H143" s="129"/>
      <c r="I143" s="145"/>
      <c r="J143" s="145"/>
      <c r="K143" s="129"/>
      <c r="L143" s="27"/>
      <c r="M143" s="63"/>
      <c r="N143" s="63"/>
      <c r="O143" s="63"/>
      <c r="P143" s="63"/>
      <c r="Q143" s="63"/>
      <c r="R143" s="27"/>
      <c r="S143" s="27"/>
      <c r="T143" s="27"/>
      <c r="U143" s="23"/>
      <c r="V143" s="146"/>
      <c r="W143" s="23"/>
      <c r="X143" s="23"/>
      <c r="Y143" s="147"/>
      <c r="Z143" s="148"/>
      <c r="AL143" s="64"/>
      <c r="AM143" s="241"/>
      <c r="AN143" s="23"/>
      <c r="AO143" s="23"/>
      <c r="AP143" s="147"/>
      <c r="AQ143" s="148"/>
    </row>
    <row r="144" spans="1:43" ht="15.75" hidden="1">
      <c r="A144" s="63"/>
      <c r="B144" s="206"/>
      <c r="C144" s="238"/>
      <c r="D144" s="188"/>
      <c r="E144" s="188"/>
      <c r="F144" s="145"/>
      <c r="G144" s="200"/>
      <c r="H144" s="129"/>
      <c r="I144" s="145"/>
      <c r="J144" s="145"/>
      <c r="K144" s="129"/>
      <c r="L144" s="27"/>
      <c r="M144" s="63"/>
      <c r="N144" s="63"/>
      <c r="O144" s="63"/>
      <c r="P144" s="63"/>
      <c r="Q144" s="63"/>
      <c r="R144" s="27"/>
      <c r="S144" s="27"/>
      <c r="T144" s="27"/>
      <c r="U144" s="23"/>
      <c r="V144" s="146"/>
      <c r="W144" s="23"/>
      <c r="X144" s="23"/>
      <c r="Y144" s="147"/>
      <c r="Z144" s="148"/>
      <c r="AL144" s="64"/>
      <c r="AM144" s="241"/>
      <c r="AN144" s="23"/>
      <c r="AO144" s="23"/>
      <c r="AP144" s="147"/>
      <c r="AQ144" s="148"/>
    </row>
    <row r="145" spans="1:43" ht="15.75" hidden="1">
      <c r="A145" s="63"/>
      <c r="B145" s="206"/>
      <c r="C145" s="238"/>
      <c r="D145" s="188"/>
      <c r="E145" s="188"/>
      <c r="F145" s="145"/>
      <c r="G145" s="200"/>
      <c r="H145" s="129"/>
      <c r="I145" s="145"/>
      <c r="J145" s="145"/>
      <c r="K145" s="129"/>
      <c r="L145" s="27"/>
      <c r="M145" s="63"/>
      <c r="N145" s="63"/>
      <c r="O145" s="63"/>
      <c r="P145" s="63"/>
      <c r="Q145" s="63"/>
      <c r="R145" s="27"/>
      <c r="S145" s="27"/>
      <c r="T145" s="27"/>
      <c r="U145" s="23"/>
      <c r="V145" s="146"/>
      <c r="W145" s="23"/>
      <c r="X145" s="23"/>
      <c r="Y145" s="147"/>
      <c r="Z145" s="148"/>
      <c r="AL145" s="64"/>
      <c r="AM145" s="241"/>
      <c r="AN145" s="23"/>
      <c r="AO145" s="23"/>
      <c r="AP145" s="147"/>
      <c r="AQ145" s="148"/>
    </row>
    <row r="146" spans="1:43" ht="15.75" hidden="1">
      <c r="A146" s="63"/>
      <c r="B146" s="206"/>
      <c r="C146" s="238"/>
      <c r="D146" s="188"/>
      <c r="E146" s="188"/>
      <c r="F146" s="145"/>
      <c r="G146" s="200"/>
      <c r="H146" s="129"/>
      <c r="I146" s="145"/>
      <c r="J146" s="145"/>
      <c r="K146" s="129"/>
      <c r="L146" s="27"/>
      <c r="M146" s="63"/>
      <c r="N146" s="63"/>
      <c r="O146" s="63"/>
      <c r="P146" s="63"/>
      <c r="Q146" s="63"/>
      <c r="R146" s="27"/>
      <c r="S146" s="27"/>
      <c r="T146" s="27"/>
      <c r="U146" s="23"/>
      <c r="V146" s="146"/>
      <c r="W146" s="23"/>
      <c r="X146" s="23"/>
      <c r="Y146" s="147"/>
      <c r="Z146" s="148"/>
      <c r="AL146" s="64"/>
      <c r="AM146" s="241"/>
      <c r="AN146" s="23"/>
      <c r="AO146" s="23"/>
      <c r="AP146" s="147"/>
      <c r="AQ146" s="148"/>
    </row>
    <row r="147" spans="1:43" ht="15.75" hidden="1">
      <c r="A147" s="63"/>
      <c r="B147" s="206"/>
      <c r="C147" s="238"/>
      <c r="D147" s="188"/>
      <c r="E147" s="188"/>
      <c r="F147" s="145"/>
      <c r="G147" s="200"/>
      <c r="H147" s="129"/>
      <c r="I147" s="145"/>
      <c r="J147" s="145"/>
      <c r="K147" s="129"/>
      <c r="L147" s="27"/>
      <c r="M147" s="63"/>
      <c r="N147" s="63"/>
      <c r="O147" s="63"/>
      <c r="P147" s="63"/>
      <c r="Q147" s="63"/>
      <c r="R147" s="27"/>
      <c r="S147" s="27"/>
      <c r="T147" s="27"/>
      <c r="U147" s="23"/>
      <c r="V147" s="146"/>
      <c r="W147" s="23"/>
      <c r="X147" s="23"/>
      <c r="Y147" s="147"/>
      <c r="Z147" s="148"/>
      <c r="AL147" s="64"/>
      <c r="AM147" s="241"/>
      <c r="AN147" s="23"/>
      <c r="AO147" s="23"/>
      <c r="AP147" s="147"/>
      <c r="AQ147" s="148"/>
    </row>
    <row r="148" spans="1:43" ht="15.75" hidden="1">
      <c r="A148" s="63"/>
      <c r="B148" s="206"/>
      <c r="C148" s="238"/>
      <c r="D148" s="188"/>
      <c r="E148" s="188"/>
      <c r="F148" s="145"/>
      <c r="G148" s="200"/>
      <c r="H148" s="129"/>
      <c r="I148" s="145"/>
      <c r="J148" s="145"/>
      <c r="K148" s="129"/>
      <c r="L148" s="27"/>
      <c r="M148" s="63"/>
      <c r="N148" s="63"/>
      <c r="O148" s="63"/>
      <c r="P148" s="63"/>
      <c r="Q148" s="63"/>
      <c r="R148" s="27"/>
      <c r="S148" s="27"/>
      <c r="T148" s="27"/>
      <c r="U148" s="23"/>
      <c r="V148" s="146"/>
      <c r="W148" s="23"/>
      <c r="X148" s="23"/>
      <c r="Y148" s="147"/>
      <c r="Z148" s="148"/>
      <c r="AL148" s="64"/>
      <c r="AM148" s="241"/>
      <c r="AN148" s="23"/>
      <c r="AO148" s="23"/>
      <c r="AP148" s="147"/>
      <c r="AQ148" s="148"/>
    </row>
    <row r="149" spans="1:43" ht="15.75" hidden="1">
      <c r="A149" s="63"/>
      <c r="B149" s="206"/>
      <c r="C149" s="238"/>
      <c r="D149" s="188"/>
      <c r="E149" s="188"/>
      <c r="F149" s="145"/>
      <c r="G149" s="200"/>
      <c r="H149" s="129"/>
      <c r="I149" s="145"/>
      <c r="J149" s="145"/>
      <c r="K149" s="129"/>
      <c r="L149" s="27"/>
      <c r="M149" s="63"/>
      <c r="N149" s="63"/>
      <c r="O149" s="63"/>
      <c r="P149" s="63"/>
      <c r="Q149" s="63"/>
      <c r="R149" s="27"/>
      <c r="S149" s="27"/>
      <c r="T149" s="27"/>
      <c r="U149" s="23"/>
      <c r="V149" s="146"/>
      <c r="W149" s="23"/>
      <c r="X149" s="23"/>
      <c r="Y149" s="147"/>
      <c r="Z149" s="148"/>
      <c r="AL149" s="64"/>
      <c r="AM149" s="241"/>
      <c r="AN149" s="23"/>
      <c r="AO149" s="23"/>
      <c r="AP149" s="147"/>
      <c r="AQ149" s="148"/>
    </row>
    <row r="150" spans="1:43" ht="15.75">
      <c r="A150" s="63"/>
      <c r="B150" s="206"/>
      <c r="C150" s="238"/>
      <c r="D150" s="238"/>
      <c r="E150" s="188"/>
      <c r="F150" s="145"/>
      <c r="G150" s="200"/>
      <c r="H150" s="129"/>
      <c r="I150" s="145"/>
      <c r="J150" s="145"/>
      <c r="K150" s="129"/>
      <c r="L150" s="27"/>
      <c r="M150" s="63"/>
      <c r="N150" s="63"/>
      <c r="O150" s="63"/>
      <c r="P150" s="63"/>
      <c r="Q150" s="63"/>
      <c r="R150" s="27"/>
      <c r="S150" s="27"/>
      <c r="T150" s="27"/>
      <c r="U150" s="23"/>
      <c r="V150" s="146"/>
      <c r="W150" s="23"/>
      <c r="X150" s="23"/>
      <c r="Y150" s="147"/>
      <c r="Z150" s="148"/>
      <c r="AL150" s="64"/>
      <c r="AM150" s="241"/>
      <c r="AN150" s="23"/>
      <c r="AO150" s="23"/>
      <c r="AP150" s="147"/>
      <c r="AQ150" s="148"/>
    </row>
    <row r="151" spans="1:43" ht="15.75">
      <c r="A151" s="63"/>
      <c r="B151" s="206"/>
      <c r="C151" s="238"/>
      <c r="D151" s="188"/>
      <c r="E151" s="188"/>
      <c r="F151" s="145"/>
      <c r="G151" s="200"/>
      <c r="H151" s="129"/>
      <c r="I151" s="145"/>
      <c r="J151" s="145"/>
      <c r="K151" s="129"/>
      <c r="L151" s="27"/>
      <c r="M151" s="63"/>
      <c r="N151" s="63"/>
      <c r="O151" s="63"/>
      <c r="P151" s="63"/>
      <c r="Q151" s="63"/>
      <c r="R151" s="27"/>
      <c r="S151" s="27"/>
      <c r="T151" s="27"/>
      <c r="U151" s="23"/>
      <c r="V151" s="146"/>
      <c r="W151" s="23"/>
      <c r="X151" s="23"/>
      <c r="Y151" s="147"/>
      <c r="Z151" s="148"/>
      <c r="AL151" s="64"/>
      <c r="AM151" s="241"/>
      <c r="AN151" s="23"/>
      <c r="AO151" s="23"/>
      <c r="AP151" s="147"/>
      <c r="AQ151" s="148"/>
    </row>
    <row r="152" spans="1:43" ht="15.75">
      <c r="A152" s="63"/>
      <c r="B152" s="206"/>
      <c r="C152" s="188"/>
      <c r="D152" s="188"/>
      <c r="E152" s="188"/>
      <c r="F152" s="145"/>
      <c r="G152" s="200"/>
      <c r="H152" s="129"/>
      <c r="I152" s="145"/>
      <c r="J152" s="145"/>
      <c r="K152" s="129"/>
      <c r="L152" s="27"/>
      <c r="M152" s="63"/>
      <c r="N152" s="63"/>
      <c r="O152" s="63"/>
      <c r="P152" s="63"/>
      <c r="Q152" s="63"/>
      <c r="R152" s="27"/>
      <c r="S152" s="27"/>
      <c r="T152" s="27"/>
      <c r="U152" s="23"/>
      <c r="V152" s="146"/>
      <c r="W152" s="23"/>
      <c r="X152" s="23"/>
      <c r="Y152" s="147"/>
      <c r="Z152" s="148"/>
      <c r="AL152" s="64"/>
      <c r="AM152" s="149"/>
      <c r="AN152" s="23"/>
      <c r="AO152" s="23"/>
      <c r="AP152" s="147"/>
      <c r="AQ152" s="148"/>
    </row>
    <row r="153" spans="1:43" ht="15.75">
      <c r="A153" s="63"/>
      <c r="B153" s="206"/>
      <c r="C153" s="188"/>
      <c r="D153" s="188"/>
      <c r="E153" s="188"/>
      <c r="F153" s="145"/>
      <c r="G153" s="200"/>
      <c r="H153" s="129"/>
      <c r="I153" s="145"/>
      <c r="J153" s="145"/>
      <c r="K153" s="129"/>
      <c r="L153" s="27"/>
      <c r="M153" s="63"/>
      <c r="N153" s="63"/>
      <c r="O153" s="63"/>
      <c r="P153" s="63"/>
      <c r="Q153" s="63"/>
      <c r="R153" s="27"/>
      <c r="S153" s="27"/>
      <c r="T153" s="27"/>
      <c r="U153" s="23"/>
      <c r="V153" s="146"/>
      <c r="W153" s="23"/>
      <c r="X153" s="23"/>
      <c r="Y153" s="147"/>
      <c r="Z153" s="148"/>
      <c r="AL153" s="64"/>
      <c r="AM153" s="149"/>
      <c r="AN153" s="23"/>
      <c r="AO153" s="23"/>
      <c r="AP153" s="147"/>
      <c r="AQ153" s="148"/>
    </row>
    <row r="154" spans="1:43" ht="15.75">
      <c r="A154" s="63"/>
      <c r="B154" s="206"/>
      <c r="C154" s="188"/>
      <c r="D154" s="188"/>
      <c r="E154" s="188"/>
      <c r="F154" s="145"/>
      <c r="G154" s="200"/>
      <c r="H154" s="129"/>
      <c r="I154" s="145"/>
      <c r="J154" s="145"/>
      <c r="K154" s="129"/>
      <c r="L154" s="27"/>
      <c r="M154" s="63"/>
      <c r="N154" s="63"/>
      <c r="O154" s="63"/>
      <c r="P154" s="63"/>
      <c r="Q154" s="63"/>
      <c r="R154" s="27"/>
      <c r="S154" s="27"/>
      <c r="T154" s="27"/>
      <c r="U154" s="23"/>
      <c r="V154" s="146"/>
      <c r="W154" s="23"/>
      <c r="X154" s="23"/>
      <c r="Y154" s="147"/>
      <c r="Z154" s="148"/>
      <c r="AL154" s="64"/>
      <c r="AM154" s="149"/>
      <c r="AN154" s="23"/>
      <c r="AO154" s="23"/>
      <c r="AP154" s="147"/>
      <c r="AQ154" s="148"/>
    </row>
    <row r="155" spans="1:43" ht="15.75">
      <c r="A155" s="63"/>
      <c r="B155" s="206"/>
      <c r="C155" s="188"/>
      <c r="D155" s="188"/>
      <c r="E155" s="188"/>
      <c r="F155" s="145"/>
      <c r="G155" s="200"/>
      <c r="H155" s="129"/>
      <c r="I155" s="145"/>
      <c r="J155" s="145"/>
      <c r="K155" s="129"/>
      <c r="L155" s="27"/>
      <c r="M155" s="63"/>
      <c r="N155" s="63"/>
      <c r="O155" s="63"/>
      <c r="P155" s="63"/>
      <c r="Q155" s="63"/>
      <c r="R155" s="27"/>
      <c r="S155" s="27"/>
      <c r="T155" s="27"/>
      <c r="U155" s="23"/>
      <c r="V155" s="146"/>
      <c r="W155" s="23"/>
      <c r="X155" s="23"/>
      <c r="Y155" s="147"/>
      <c r="Z155" s="148"/>
      <c r="AL155" s="64"/>
      <c r="AM155" s="149"/>
      <c r="AN155" s="23"/>
      <c r="AO155" s="23"/>
      <c r="AP155" s="147"/>
      <c r="AQ155" s="148"/>
    </row>
    <row r="156" spans="1:43" ht="15.75">
      <c r="A156" s="63"/>
      <c r="B156" s="206"/>
      <c r="C156" s="188"/>
      <c r="D156" s="188"/>
      <c r="E156" s="188"/>
      <c r="F156" s="145"/>
      <c r="G156" s="200"/>
      <c r="H156" s="129"/>
      <c r="I156" s="145"/>
      <c r="J156" s="145"/>
      <c r="K156" s="129"/>
      <c r="L156" s="27"/>
      <c r="M156" s="63"/>
      <c r="N156" s="63"/>
      <c r="O156" s="63"/>
      <c r="P156" s="63"/>
      <c r="Q156" s="63"/>
      <c r="R156" s="27"/>
      <c r="S156" s="27"/>
      <c r="T156" s="27"/>
      <c r="U156" s="23"/>
      <c r="V156" s="146"/>
      <c r="W156" s="23"/>
      <c r="X156" s="23"/>
      <c r="Y156" s="147"/>
      <c r="Z156" s="148"/>
      <c r="AL156" s="64"/>
      <c r="AM156" s="149"/>
      <c r="AN156" s="23"/>
      <c r="AO156" s="23"/>
      <c r="AP156" s="147"/>
      <c r="AQ156" s="148"/>
    </row>
    <row r="157" spans="1:43" ht="16.5" customHeight="1">
      <c r="A157" s="63"/>
      <c r="B157" s="206"/>
      <c r="C157" s="188"/>
      <c r="D157" s="188"/>
      <c r="E157" s="188"/>
      <c r="F157" s="145"/>
      <c r="G157" s="200"/>
      <c r="H157" s="129"/>
      <c r="I157" s="145"/>
      <c r="J157" s="145"/>
      <c r="K157" s="129"/>
      <c r="L157" s="27"/>
      <c r="M157" s="63"/>
      <c r="N157" s="63"/>
      <c r="O157" s="63"/>
      <c r="P157" s="63"/>
      <c r="Q157" s="63"/>
      <c r="R157" s="27"/>
      <c r="S157" s="27"/>
      <c r="T157" s="27"/>
      <c r="U157" s="23"/>
      <c r="V157" s="146"/>
      <c r="W157" s="23"/>
      <c r="X157" s="23"/>
      <c r="Y157" s="147"/>
      <c r="Z157" s="148"/>
      <c r="AL157" s="64"/>
      <c r="AM157" s="149"/>
      <c r="AN157" s="23"/>
      <c r="AO157" s="23"/>
      <c r="AP157" s="147"/>
      <c r="AQ157" s="148"/>
    </row>
    <row r="158" spans="1:43" ht="15.75">
      <c r="A158" s="63"/>
      <c r="B158" s="234"/>
      <c r="C158" s="188"/>
      <c r="D158" s="188"/>
      <c r="E158" s="188"/>
      <c r="F158" s="145"/>
      <c r="G158" s="242"/>
      <c r="H158" s="129"/>
      <c r="I158" s="145"/>
      <c r="J158" s="145"/>
      <c r="K158" s="129"/>
      <c r="L158" s="27"/>
      <c r="M158" s="63"/>
      <c r="N158" s="63"/>
      <c r="O158" s="63"/>
      <c r="P158" s="63"/>
      <c r="Q158" s="63"/>
      <c r="R158" s="27"/>
      <c r="S158" s="27"/>
      <c r="T158" s="27"/>
      <c r="U158" s="23"/>
      <c r="V158" s="243"/>
      <c r="W158" s="23"/>
      <c r="X158" s="23"/>
      <c r="Y158" s="147"/>
      <c r="Z158" s="148"/>
      <c r="AL158" s="64"/>
      <c r="AM158" s="149"/>
      <c r="AN158" s="23"/>
      <c r="AO158" s="23"/>
      <c r="AP158" s="147"/>
      <c r="AQ158" s="148"/>
    </row>
    <row r="159" spans="1:43" ht="15.75">
      <c r="A159" s="63"/>
      <c r="B159" s="234"/>
      <c r="C159" s="188"/>
      <c r="D159" s="188"/>
      <c r="E159" s="188"/>
      <c r="F159" s="145"/>
      <c r="G159" s="235"/>
      <c r="H159" s="129"/>
      <c r="I159" s="145"/>
      <c r="J159" s="145"/>
      <c r="K159" s="129"/>
      <c r="L159" s="27"/>
      <c r="M159" s="63"/>
      <c r="N159" s="63"/>
      <c r="O159" s="63"/>
      <c r="P159" s="63"/>
      <c r="Q159" s="63"/>
      <c r="R159" s="27"/>
      <c r="S159" s="27"/>
      <c r="T159" s="27"/>
      <c r="U159" s="23"/>
      <c r="V159" s="154"/>
      <c r="W159" s="23"/>
      <c r="X159" s="23"/>
      <c r="Y159" s="147"/>
      <c r="Z159" s="148"/>
      <c r="AL159" s="64"/>
      <c r="AM159" s="149"/>
      <c r="AN159" s="23"/>
      <c r="AO159" s="23"/>
      <c r="AP159" s="147"/>
      <c r="AQ159" s="148"/>
    </row>
    <row r="160" spans="1:43" ht="15.75">
      <c r="A160" s="63"/>
      <c r="B160" s="234"/>
      <c r="C160" s="188"/>
      <c r="D160" s="188"/>
      <c r="E160" s="188"/>
      <c r="F160" s="145"/>
      <c r="G160" s="235"/>
      <c r="H160" s="129"/>
      <c r="I160" s="145"/>
      <c r="J160" s="145"/>
      <c r="K160" s="129"/>
      <c r="L160" s="27"/>
      <c r="M160" s="63"/>
      <c r="N160" s="63"/>
      <c r="O160" s="63"/>
      <c r="P160" s="63"/>
      <c r="Q160" s="63"/>
      <c r="R160" s="27"/>
      <c r="S160" s="27"/>
      <c r="T160" s="27"/>
      <c r="U160" s="23"/>
      <c r="V160" s="154"/>
      <c r="W160" s="23"/>
      <c r="X160" s="23"/>
      <c r="Y160" s="147"/>
      <c r="Z160" s="148"/>
      <c r="AL160" s="64"/>
      <c r="AM160" s="149"/>
      <c r="AN160" s="23"/>
      <c r="AO160" s="23"/>
      <c r="AP160" s="147"/>
      <c r="AQ160" s="148"/>
    </row>
    <row r="161" spans="1:43" ht="15.75">
      <c r="A161" s="63"/>
      <c r="B161" s="234"/>
      <c r="C161" s="188"/>
      <c r="D161" s="188"/>
      <c r="E161" s="188"/>
      <c r="F161" s="145"/>
      <c r="G161" s="235"/>
      <c r="H161" s="129"/>
      <c r="I161" s="145"/>
      <c r="J161" s="145"/>
      <c r="K161" s="129"/>
      <c r="L161" s="27"/>
      <c r="M161" s="63"/>
      <c r="N161" s="63"/>
      <c r="O161" s="63"/>
      <c r="P161" s="63"/>
      <c r="Q161" s="63"/>
      <c r="R161" s="27"/>
      <c r="S161" s="27"/>
      <c r="T161" s="27"/>
      <c r="U161" s="23"/>
      <c r="V161" s="154"/>
      <c r="W161" s="23"/>
      <c r="X161" s="23"/>
      <c r="Y161" s="147"/>
      <c r="Z161" s="148"/>
      <c r="AL161" s="64"/>
      <c r="AM161" s="149"/>
      <c r="AN161" s="23"/>
      <c r="AO161" s="23"/>
      <c r="AP161" s="147"/>
      <c r="AQ161" s="148"/>
    </row>
    <row r="162" spans="1:43" ht="15.75">
      <c r="A162" s="63"/>
      <c r="B162" s="240"/>
      <c r="C162" s="188"/>
      <c r="D162" s="188"/>
      <c r="E162" s="188"/>
      <c r="F162" s="145"/>
      <c r="G162" s="235"/>
      <c r="H162" s="129"/>
      <c r="I162" s="145"/>
      <c r="J162" s="145"/>
      <c r="K162" s="129"/>
      <c r="L162" s="27"/>
      <c r="M162" s="63"/>
      <c r="N162" s="63"/>
      <c r="O162" s="63"/>
      <c r="P162" s="63"/>
      <c r="Q162" s="63"/>
      <c r="R162" s="27"/>
      <c r="S162" s="27"/>
      <c r="T162" s="27"/>
      <c r="U162" s="23"/>
      <c r="V162" s="154"/>
      <c r="W162" s="23"/>
      <c r="X162" s="23"/>
      <c r="Y162" s="147"/>
      <c r="Z162" s="148"/>
      <c r="AL162" s="64"/>
      <c r="AM162" s="149"/>
      <c r="AN162" s="23"/>
      <c r="AO162" s="23"/>
      <c r="AP162" s="147"/>
      <c r="AQ162" s="148"/>
    </row>
    <row r="163" spans="1:43" ht="15.75">
      <c r="A163" s="63"/>
      <c r="B163" s="240"/>
      <c r="C163" s="188"/>
      <c r="D163" s="188"/>
      <c r="E163" s="188"/>
      <c r="F163" s="145"/>
      <c r="G163" s="235"/>
      <c r="H163" s="129"/>
      <c r="I163" s="145"/>
      <c r="J163" s="145"/>
      <c r="K163" s="244"/>
      <c r="L163" s="27"/>
      <c r="M163" s="63"/>
      <c r="N163" s="63"/>
      <c r="O163" s="63"/>
      <c r="P163" s="63"/>
      <c r="Q163" s="63"/>
      <c r="R163" s="27"/>
      <c r="S163" s="27"/>
      <c r="T163" s="27"/>
      <c r="U163" s="23"/>
      <c r="V163" s="154"/>
      <c r="W163" s="23"/>
      <c r="X163" s="23"/>
      <c r="Y163" s="147"/>
      <c r="Z163" s="148"/>
      <c r="AL163" s="64"/>
      <c r="AM163" s="149"/>
      <c r="AN163" s="23"/>
      <c r="AO163" s="23"/>
      <c r="AP163" s="147"/>
      <c r="AQ163" s="148"/>
    </row>
    <row r="164" spans="1:43" ht="15.75" customHeight="1">
      <c r="A164" s="63"/>
      <c r="B164" s="240"/>
      <c r="C164" s="188"/>
      <c r="D164" s="188"/>
      <c r="E164" s="188"/>
      <c r="F164" s="145"/>
      <c r="G164" s="235"/>
      <c r="H164" s="129"/>
      <c r="I164" s="145"/>
      <c r="J164" s="145"/>
      <c r="K164" s="129"/>
      <c r="L164" s="27"/>
      <c r="M164" s="63"/>
      <c r="N164" s="63"/>
      <c r="O164" s="63"/>
      <c r="P164" s="63"/>
      <c r="Q164" s="63"/>
      <c r="R164" s="27"/>
      <c r="S164" s="27"/>
      <c r="T164" s="27"/>
      <c r="U164" s="23"/>
      <c r="V164" s="154"/>
      <c r="W164" s="23"/>
      <c r="X164" s="23"/>
      <c r="Y164" s="147"/>
      <c r="Z164" s="148"/>
      <c r="AL164" s="64"/>
      <c r="AM164" s="149"/>
      <c r="AN164" s="23"/>
      <c r="AO164" s="23"/>
      <c r="AP164" s="147"/>
      <c r="AQ164" s="148"/>
    </row>
    <row r="165" spans="1:43" ht="15" customHeight="1">
      <c r="A165" s="63"/>
      <c r="B165" s="240"/>
      <c r="C165" s="188"/>
      <c r="D165" s="188"/>
      <c r="E165" s="188"/>
      <c r="F165" s="145"/>
      <c r="G165" s="235"/>
      <c r="H165" s="129"/>
      <c r="I165" s="145"/>
      <c r="J165" s="145"/>
      <c r="K165" s="129"/>
      <c r="L165" s="27"/>
      <c r="M165" s="63"/>
      <c r="N165" s="63"/>
      <c r="O165" s="63"/>
      <c r="P165" s="63"/>
      <c r="Q165" s="63"/>
      <c r="R165" s="27"/>
      <c r="S165" s="27"/>
      <c r="T165" s="27"/>
      <c r="U165" s="23"/>
      <c r="V165" s="154"/>
      <c r="W165" s="23"/>
      <c r="X165" s="23"/>
      <c r="Y165" s="147"/>
      <c r="Z165" s="148"/>
      <c r="AL165" s="64"/>
      <c r="AM165" s="149"/>
      <c r="AN165" s="23"/>
      <c r="AO165" s="23"/>
      <c r="AP165" s="147"/>
      <c r="AQ165" s="148"/>
    </row>
    <row r="166" spans="1:26" ht="15.75">
      <c r="A166" s="63"/>
      <c r="B166" s="206"/>
      <c r="C166" s="188"/>
      <c r="D166" s="188"/>
      <c r="E166" s="188"/>
      <c r="F166" s="188"/>
      <c r="G166" s="129"/>
      <c r="H166" s="131"/>
      <c r="I166" s="129"/>
      <c r="J166" s="129"/>
      <c r="K166" s="129"/>
      <c r="L166" s="27"/>
      <c r="M166" s="63"/>
      <c r="N166" s="63"/>
      <c r="O166" s="63"/>
      <c r="P166" s="63"/>
      <c r="Q166" s="63"/>
      <c r="R166" s="27"/>
      <c r="S166" s="27"/>
      <c r="T166" s="27"/>
      <c r="U166" s="114"/>
      <c r="V166" s="23"/>
      <c r="W166" s="23"/>
      <c r="X166" s="23"/>
      <c r="Y166" s="114"/>
      <c r="Z166" s="148"/>
    </row>
    <row r="167" spans="1:26" ht="15.75" hidden="1">
      <c r="A167" s="63"/>
      <c r="B167" s="206"/>
      <c r="C167" s="188"/>
      <c r="D167" s="188"/>
      <c r="E167" s="134"/>
      <c r="F167" s="134"/>
      <c r="G167" s="130"/>
      <c r="H167" s="131"/>
      <c r="I167" s="129"/>
      <c r="J167" s="129"/>
      <c r="K167" s="129"/>
      <c r="L167" s="27"/>
      <c r="M167" s="63"/>
      <c r="N167" s="63"/>
      <c r="O167" s="63"/>
      <c r="P167" s="63"/>
      <c r="Q167" s="63"/>
      <c r="R167" s="27"/>
      <c r="S167" s="27"/>
      <c r="T167" s="27"/>
      <c r="U167" s="23"/>
      <c r="V167" s="23"/>
      <c r="W167" s="23"/>
      <c r="X167" s="23"/>
      <c r="Y167" s="23"/>
      <c r="Z167" s="23"/>
    </row>
    <row r="168" spans="1:26" ht="15.75" hidden="1">
      <c r="A168" s="63"/>
      <c r="B168" s="206"/>
      <c r="C168" s="188"/>
      <c r="D168" s="188"/>
      <c r="E168" s="134"/>
      <c r="F168" s="134"/>
      <c r="G168" s="130"/>
      <c r="H168" s="131"/>
      <c r="I168" s="129"/>
      <c r="J168" s="129"/>
      <c r="K168" s="129"/>
      <c r="L168" s="27"/>
      <c r="M168" s="63"/>
      <c r="N168" s="63"/>
      <c r="O168" s="63"/>
      <c r="P168" s="63"/>
      <c r="Q168" s="63"/>
      <c r="R168" s="27"/>
      <c r="S168" s="27"/>
      <c r="T168" s="27"/>
      <c r="U168" s="23"/>
      <c r="V168" s="23"/>
      <c r="W168" s="23"/>
      <c r="X168" s="23"/>
      <c r="Y168" s="23"/>
      <c r="Z168" s="23"/>
    </row>
    <row r="169" spans="1:43" ht="18.75">
      <c r="A169" s="63"/>
      <c r="B169" s="206"/>
      <c r="C169" s="129"/>
      <c r="D169" s="129"/>
      <c r="E169" s="129"/>
      <c r="F169" s="245"/>
      <c r="G169" s="129"/>
      <c r="H169" s="129"/>
      <c r="I169" s="246"/>
      <c r="J169" s="247"/>
      <c r="K169" s="129"/>
      <c r="L169" s="27"/>
      <c r="M169" s="63"/>
      <c r="N169" s="63"/>
      <c r="O169" s="63"/>
      <c r="P169" s="63"/>
      <c r="Q169" s="63"/>
      <c r="R169" s="27"/>
      <c r="S169" s="27"/>
      <c r="T169" s="27"/>
      <c r="U169" s="23"/>
      <c r="V169" s="23"/>
      <c r="W169" s="23"/>
      <c r="X169" s="23"/>
      <c r="Y169" s="23"/>
      <c r="Z169" s="248"/>
      <c r="AL169" s="64"/>
      <c r="AP169" s="114"/>
      <c r="AQ169" s="64"/>
    </row>
    <row r="170" spans="1:42" ht="15.75" hidden="1">
      <c r="A170" s="63"/>
      <c r="B170" s="234"/>
      <c r="C170" s="249"/>
      <c r="D170" s="188"/>
      <c r="E170" s="134"/>
      <c r="F170" s="134"/>
      <c r="G170" s="130"/>
      <c r="H170" s="250"/>
      <c r="I170" s="129"/>
      <c r="J170" s="129"/>
      <c r="K170" s="129"/>
      <c r="L170" s="27"/>
      <c r="M170" s="63"/>
      <c r="N170" s="63"/>
      <c r="O170" s="63"/>
      <c r="P170" s="63"/>
      <c r="Q170" s="63"/>
      <c r="R170" s="63"/>
      <c r="S170" s="63"/>
      <c r="T170" s="63"/>
      <c r="AP170" s="23"/>
    </row>
    <row r="171" spans="1:42" ht="15.75" hidden="1">
      <c r="A171" s="63"/>
      <c r="B171" s="234"/>
      <c r="C171" s="238"/>
      <c r="D171" s="188"/>
      <c r="E171" s="134"/>
      <c r="F171" s="134"/>
      <c r="G171" s="130"/>
      <c r="H171" s="251"/>
      <c r="I171" s="129"/>
      <c r="J171" s="129"/>
      <c r="K171" s="129"/>
      <c r="L171" s="27"/>
      <c r="M171" s="63"/>
      <c r="N171" s="63"/>
      <c r="O171" s="63"/>
      <c r="P171" s="63"/>
      <c r="Q171" s="63"/>
      <c r="R171" s="63"/>
      <c r="S171" s="63"/>
      <c r="T171" s="63"/>
      <c r="AP171" s="23"/>
    </row>
    <row r="172" spans="1:42" ht="15.75" hidden="1">
      <c r="A172" s="63"/>
      <c r="B172" s="234"/>
      <c r="C172" s="238"/>
      <c r="D172" s="188"/>
      <c r="E172" s="134"/>
      <c r="F172" s="134"/>
      <c r="G172" s="130"/>
      <c r="H172" s="251"/>
      <c r="I172" s="129"/>
      <c r="J172" s="129"/>
      <c r="K172" s="129"/>
      <c r="L172" s="27"/>
      <c r="M172" s="63"/>
      <c r="N172" s="63"/>
      <c r="O172" s="63"/>
      <c r="P172" s="63"/>
      <c r="Q172" s="63"/>
      <c r="R172" s="63"/>
      <c r="S172" s="63"/>
      <c r="T172" s="63"/>
      <c r="AP172" s="23"/>
    </row>
    <row r="173" spans="1:42" ht="15.75" hidden="1">
      <c r="A173" s="63"/>
      <c r="B173" s="234"/>
      <c r="C173" s="238"/>
      <c r="D173" s="188"/>
      <c r="E173" s="134"/>
      <c r="F173" s="134"/>
      <c r="G173" s="130"/>
      <c r="H173" s="251"/>
      <c r="I173" s="129"/>
      <c r="J173" s="129"/>
      <c r="K173" s="129"/>
      <c r="L173" s="27"/>
      <c r="M173" s="63"/>
      <c r="N173" s="63"/>
      <c r="O173" s="63"/>
      <c r="P173" s="63"/>
      <c r="Q173" s="63"/>
      <c r="R173" s="63"/>
      <c r="S173" s="63"/>
      <c r="T173" s="63"/>
      <c r="AP173" s="23"/>
    </row>
    <row r="174" spans="1:43" ht="15.75">
      <c r="A174" s="63"/>
      <c r="B174" s="236"/>
      <c r="C174" s="238"/>
      <c r="D174" s="238"/>
      <c r="E174" s="134"/>
      <c r="F174" s="188"/>
      <c r="G174" s="130"/>
      <c r="H174" s="251"/>
      <c r="I174" s="129"/>
      <c r="J174" s="129"/>
      <c r="K174" s="129"/>
      <c r="L174" s="27"/>
      <c r="M174" s="63"/>
      <c r="N174" s="63"/>
      <c r="O174" s="63"/>
      <c r="P174" s="63"/>
      <c r="Q174" s="63"/>
      <c r="R174" s="63"/>
      <c r="S174" s="63"/>
      <c r="T174" s="63"/>
      <c r="AL174" s="64"/>
      <c r="AP174" s="114"/>
      <c r="AQ174" s="64"/>
    </row>
    <row r="175" spans="1:43" ht="15.75">
      <c r="A175" s="63"/>
      <c r="B175" s="236"/>
      <c r="C175" s="238"/>
      <c r="D175" s="238"/>
      <c r="E175" s="134"/>
      <c r="F175" s="188"/>
      <c r="G175" s="130"/>
      <c r="H175" s="251"/>
      <c r="I175" s="129"/>
      <c r="J175" s="129"/>
      <c r="K175" s="129"/>
      <c r="L175" s="27"/>
      <c r="M175" s="63"/>
      <c r="N175" s="63"/>
      <c r="O175" s="63"/>
      <c r="P175" s="63"/>
      <c r="Q175" s="63"/>
      <c r="R175" s="63"/>
      <c r="S175" s="63"/>
      <c r="T175" s="63"/>
      <c r="AL175" s="64"/>
      <c r="AP175" s="114"/>
      <c r="AQ175" s="64"/>
    </row>
    <row r="176" spans="1:20" ht="15.75">
      <c r="A176" s="63"/>
      <c r="B176" s="252"/>
      <c r="C176" s="253"/>
      <c r="D176" s="253"/>
      <c r="E176" s="254"/>
      <c r="F176" s="254"/>
      <c r="G176" s="254"/>
      <c r="H176" s="254"/>
      <c r="I176" s="255"/>
      <c r="J176" s="254"/>
      <c r="K176" s="254"/>
      <c r="L176" s="27"/>
      <c r="M176" s="63"/>
      <c r="N176" s="63"/>
      <c r="O176" s="63"/>
      <c r="P176" s="63"/>
      <c r="Q176" s="63"/>
      <c r="R176" s="63"/>
      <c r="S176" s="63"/>
      <c r="T176" s="63"/>
    </row>
    <row r="177" spans="1:20" ht="18.75">
      <c r="A177" s="63"/>
      <c r="B177" s="256"/>
      <c r="C177" s="257"/>
      <c r="D177" s="257"/>
      <c r="E177" s="258"/>
      <c r="F177" s="258"/>
      <c r="G177" s="259"/>
      <c r="H177" s="260"/>
      <c r="I177" s="255"/>
      <c r="J177" s="258"/>
      <c r="K177" s="258"/>
      <c r="L177" s="27"/>
      <c r="M177" s="63"/>
      <c r="N177" s="63"/>
      <c r="O177" s="63"/>
      <c r="P177" s="63"/>
      <c r="Q177" s="63"/>
      <c r="R177" s="63"/>
      <c r="S177" s="63"/>
      <c r="T177" s="63"/>
    </row>
    <row r="178" spans="1:20" ht="15.75">
      <c r="A178" s="63"/>
      <c r="B178" s="261"/>
      <c r="C178" s="262"/>
      <c r="D178" s="262"/>
      <c r="E178" s="134"/>
      <c r="F178" s="139"/>
      <c r="G178" s="130"/>
      <c r="H178" s="251"/>
      <c r="I178" s="129"/>
      <c r="J178" s="246"/>
      <c r="K178" s="245"/>
      <c r="L178" s="27"/>
      <c r="M178" s="63"/>
      <c r="N178" s="63"/>
      <c r="O178" s="63"/>
      <c r="P178" s="63"/>
      <c r="Q178" s="63"/>
      <c r="R178" s="63"/>
      <c r="S178" s="63"/>
      <c r="T178" s="63"/>
    </row>
    <row r="179" spans="1:20" ht="15.75">
      <c r="A179" s="63"/>
      <c r="B179" s="261"/>
      <c r="C179" s="262"/>
      <c r="D179" s="262"/>
      <c r="E179" s="134"/>
      <c r="F179" s="139"/>
      <c r="G179" s="130"/>
      <c r="H179" s="251"/>
      <c r="I179" s="129"/>
      <c r="J179" s="246"/>
      <c r="K179" s="245"/>
      <c r="L179" s="27"/>
      <c r="M179" s="63"/>
      <c r="N179" s="63"/>
      <c r="O179" s="63"/>
      <c r="P179" s="63"/>
      <c r="Q179" s="63"/>
      <c r="R179" s="63"/>
      <c r="S179" s="63"/>
      <c r="T179" s="63"/>
    </row>
    <row r="180" spans="1:20" ht="15.75" hidden="1">
      <c r="A180" s="63"/>
      <c r="B180" s="240"/>
      <c r="C180" s="262"/>
      <c r="D180" s="134"/>
      <c r="E180" s="134"/>
      <c r="F180" s="139"/>
      <c r="G180" s="130"/>
      <c r="H180" s="251"/>
      <c r="I180" s="129"/>
      <c r="J180" s="246"/>
      <c r="K180" s="245"/>
      <c r="L180" s="27"/>
      <c r="M180" s="63"/>
      <c r="N180" s="63"/>
      <c r="O180" s="63"/>
      <c r="P180" s="63"/>
      <c r="Q180" s="63"/>
      <c r="R180" s="63"/>
      <c r="S180" s="63"/>
      <c r="T180" s="63"/>
    </row>
    <row r="181" spans="1:20" ht="15.75">
      <c r="A181" s="63"/>
      <c r="B181" s="63"/>
      <c r="C181" s="263"/>
      <c r="D181" s="263"/>
      <c r="E181" s="263"/>
      <c r="F181" s="139"/>
      <c r="G181" s="198"/>
      <c r="H181" s="198"/>
      <c r="I181" s="198"/>
      <c r="J181" s="246"/>
      <c r="K181" s="245"/>
      <c r="L181" s="63"/>
      <c r="M181" s="63"/>
      <c r="N181" s="63"/>
      <c r="O181" s="63"/>
      <c r="P181" s="63"/>
      <c r="Q181" s="63"/>
      <c r="R181" s="63"/>
      <c r="S181" s="63"/>
      <c r="T181" s="63"/>
    </row>
    <row r="182" spans="1:20" ht="15.75">
      <c r="A182" s="63"/>
      <c r="B182" s="63"/>
      <c r="C182" s="63"/>
      <c r="D182" s="63"/>
      <c r="E182" s="63"/>
      <c r="F182" s="63"/>
      <c r="G182" s="198"/>
      <c r="H182" s="198"/>
      <c r="I182" s="198"/>
      <c r="J182" s="198"/>
      <c r="K182" s="198"/>
      <c r="L182" s="27"/>
      <c r="M182" s="63"/>
      <c r="N182" s="63"/>
      <c r="O182" s="63"/>
      <c r="P182" s="63"/>
      <c r="Q182" s="63"/>
      <c r="R182" s="63"/>
      <c r="S182" s="63"/>
      <c r="T182" s="63"/>
    </row>
    <row r="183" spans="1:20" ht="15.75">
      <c r="A183" s="63"/>
      <c r="B183" s="63"/>
      <c r="C183" s="63"/>
      <c r="D183" s="63"/>
      <c r="E183" s="63"/>
      <c r="F183" s="63"/>
      <c r="G183" s="198"/>
      <c r="H183" s="198"/>
      <c r="I183" s="198"/>
      <c r="J183" s="198"/>
      <c r="K183" s="198"/>
      <c r="L183" s="27"/>
      <c r="M183" s="63"/>
      <c r="N183" s="63"/>
      <c r="O183" s="63"/>
      <c r="P183" s="63"/>
      <c r="Q183" s="63"/>
      <c r="R183" s="63"/>
      <c r="S183" s="63"/>
      <c r="T183" s="63"/>
    </row>
    <row r="184" spans="1:20" ht="15.75">
      <c r="A184" s="63"/>
      <c r="B184" s="63"/>
      <c r="C184" s="63"/>
      <c r="D184" s="63"/>
      <c r="E184" s="63"/>
      <c r="F184" s="63"/>
      <c r="G184" s="198"/>
      <c r="H184" s="198"/>
      <c r="I184" s="198"/>
      <c r="J184" s="198"/>
      <c r="K184" s="198"/>
      <c r="L184" s="27"/>
      <c r="M184" s="63"/>
      <c r="N184" s="63"/>
      <c r="O184" s="63"/>
      <c r="P184" s="63"/>
      <c r="Q184" s="63"/>
      <c r="R184" s="63"/>
      <c r="S184" s="63"/>
      <c r="T184" s="63"/>
    </row>
    <row r="185" spans="1:20" ht="15.75">
      <c r="A185" s="63"/>
      <c r="B185" s="63"/>
      <c r="C185" s="63"/>
      <c r="D185" s="63"/>
      <c r="E185" s="63"/>
      <c r="F185" s="63"/>
      <c r="G185" s="198"/>
      <c r="H185" s="198"/>
      <c r="I185" s="198"/>
      <c r="J185" s="198"/>
      <c r="K185" s="198"/>
      <c r="L185" s="27"/>
      <c r="M185" s="63"/>
      <c r="N185" s="63"/>
      <c r="O185" s="63"/>
      <c r="P185" s="63"/>
      <c r="Q185" s="63"/>
      <c r="R185" s="63"/>
      <c r="S185" s="63"/>
      <c r="T185" s="63"/>
    </row>
    <row r="186" spans="1:20" ht="15.75">
      <c r="A186" s="63"/>
      <c r="B186" s="63"/>
      <c r="C186" s="63"/>
      <c r="D186" s="63"/>
      <c r="E186" s="63"/>
      <c r="F186" s="63"/>
      <c r="G186" s="198"/>
      <c r="H186" s="198"/>
      <c r="I186" s="198"/>
      <c r="J186" s="198"/>
      <c r="K186" s="198"/>
      <c r="L186" s="27"/>
      <c r="M186" s="63"/>
      <c r="N186" s="63"/>
      <c r="O186" s="63"/>
      <c r="P186" s="63"/>
      <c r="Q186" s="63"/>
      <c r="R186" s="63"/>
      <c r="S186" s="63"/>
      <c r="T186" s="63"/>
    </row>
    <row r="187" spans="1:20" ht="15.75">
      <c r="A187" s="63"/>
      <c r="B187" s="63"/>
      <c r="C187" s="63"/>
      <c r="D187" s="63"/>
      <c r="E187" s="63"/>
      <c r="F187" s="63"/>
      <c r="G187" s="198"/>
      <c r="H187" s="198"/>
      <c r="I187" s="198"/>
      <c r="J187" s="198"/>
      <c r="K187" s="198"/>
      <c r="L187" s="27"/>
      <c r="M187" s="63"/>
      <c r="N187" s="63"/>
      <c r="O187" s="63"/>
      <c r="P187" s="63"/>
      <c r="Q187" s="63"/>
      <c r="R187" s="63"/>
      <c r="S187" s="63"/>
      <c r="T187" s="63"/>
    </row>
  </sheetData>
  <mergeCells count="9">
    <mergeCell ref="A35:K35"/>
    <mergeCell ref="A37:A38"/>
    <mergeCell ref="H37:K37"/>
    <mergeCell ref="G37:G38"/>
    <mergeCell ref="F37:F38"/>
    <mergeCell ref="E37:E38"/>
    <mergeCell ref="D37:D38"/>
    <mergeCell ref="C37:C38"/>
    <mergeCell ref="B37:B38"/>
  </mergeCells>
  <printOptions horizontalCentered="1" verticalCentered="1"/>
  <pageMargins left="0.3937007874015748" right="0.3937007874015748" top="0.7874015748031497" bottom="0.3937007874015748" header="0.17" footer="0"/>
  <pageSetup horizontalDpi="120" verticalDpi="120" orientation="landscape" paperSize="9" scale="105" r:id="rId3"/>
  <ignoredErrors>
    <ignoredError sqref="G41:G42 F43 I41:J43 F40 D13 G40 D14:H15 F41:F42 I40:J40 E13:G1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Ïëàíîâûé îòäåë</dc:creator>
  <cp:keywords/>
  <dc:description/>
  <cp:lastModifiedBy>User</cp:lastModifiedBy>
  <cp:lastPrinted>2010-10-26T13:42:11Z</cp:lastPrinted>
  <dcterms:created xsi:type="dcterms:W3CDTF">1999-05-28T10:13:10Z</dcterms:created>
  <dcterms:modified xsi:type="dcterms:W3CDTF">2010-12-02T03:39:18Z</dcterms:modified>
  <cp:category/>
  <cp:version/>
  <cp:contentType/>
  <cp:contentStatus/>
</cp:coreProperties>
</file>